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lorena Taguinod\Desktop\Weng's File\Torre Lorenzo Devt. Corp\2 Torre\Pricelist\"/>
    </mc:Choice>
  </mc:AlternateContent>
  <workbookProtection workbookAlgorithmName="SHA-512" workbookHashValue="OIHI2G3+KCQzDOH7rPRw64CO8z3tvOUH5HwI6Fy3xBvPHn9UU2bDu6Ue6tA5+X5s9xo8x3J9f4RPNMJl8vTr1g==" workbookSaltValue="H1jy37fbGYT4Jlvevl2Lfw==" workbookSpinCount="100000" lockStructure="1"/>
  <bookViews>
    <workbookView xWindow="0" yWindow="0" windowWidth="23040" windowHeight="9096" firstSheet="5" activeTab="14"/>
  </bookViews>
  <sheets>
    <sheet name="Sheet8" sheetId="14" state="hidden" r:id="rId1"/>
    <sheet name="Base Price" sheetId="1" state="hidden" r:id="rId2"/>
    <sheet name="Sheet5" sheetId="15" state="hidden" r:id="rId3"/>
    <sheet name="Sheet7" sheetId="13" state="hidden" r:id="rId4"/>
    <sheet name="assumption for discount" sheetId="16" state="hidden" r:id="rId5"/>
    <sheet name="Pricelist" sheetId="2" r:id="rId6"/>
    <sheet name="Pricelist attachment" sheetId="12" state="hidden" r:id="rId7"/>
    <sheet name="Sheet6" sheetId="11" state="hidden" r:id="rId8"/>
    <sheet name="Sheet4" sheetId="9" state="hidden" r:id="rId9"/>
    <sheet name="Sheet1" sheetId="6" state="hidden" r:id="rId10"/>
    <sheet name="Sheet3" sheetId="8" state="hidden" r:id="rId11"/>
    <sheet name="Sheet2" sheetId="7" state="hidden" r:id="rId12"/>
    <sheet name="Option 1&amp;2" sheetId="3" r:id="rId13"/>
    <sheet name="Option 3&amp;4" sheetId="4" r:id="rId14"/>
    <sheet name="In-House Computation" sheetId="5" r:id="rId15"/>
  </sheets>
  <externalReferences>
    <externalReference r:id="rId16"/>
    <externalReference r:id="rId17"/>
  </externalReferences>
  <calcPr calcId="152511"/>
  <pivotCaches>
    <pivotCache cacheId="27" r:id="rId18"/>
    <pivotCache cacheId="28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4" l="1"/>
  <c r="D35" i="3"/>
  <c r="C30" i="16"/>
  <c r="C31" i="16" s="1"/>
  <c r="C32" i="16" s="1"/>
  <c r="D20" i="3" l="1"/>
  <c r="C22" i="3" s="1"/>
  <c r="C6" i="16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I25" i="1" l="1"/>
  <c r="J25" i="1"/>
  <c r="K25" i="1"/>
  <c r="L25" i="1"/>
  <c r="M25" i="1"/>
  <c r="D24" i="1"/>
  <c r="E24" i="1"/>
  <c r="C9" i="15"/>
  <c r="H2" i="13" l="1"/>
  <c r="I2" i="13"/>
  <c r="J2" i="13"/>
  <c r="K2" i="13"/>
  <c r="L2" i="13"/>
  <c r="M2" i="13"/>
  <c r="H3" i="13"/>
  <c r="I3" i="13"/>
  <c r="J3" i="13"/>
  <c r="K3" i="13"/>
  <c r="L3" i="13"/>
  <c r="M3" i="13"/>
  <c r="H4" i="13"/>
  <c r="I4" i="13"/>
  <c r="J4" i="13"/>
  <c r="K4" i="13"/>
  <c r="L4" i="13"/>
  <c r="M4" i="13"/>
  <c r="H5" i="13"/>
  <c r="I5" i="13"/>
  <c r="J5" i="13"/>
  <c r="K5" i="13"/>
  <c r="L5" i="13"/>
  <c r="M5" i="13"/>
  <c r="H6" i="13"/>
  <c r="I6" i="13"/>
  <c r="J6" i="13"/>
  <c r="K6" i="13"/>
  <c r="L6" i="13"/>
  <c r="M6" i="13"/>
  <c r="H7" i="13"/>
  <c r="I7" i="13"/>
  <c r="J7" i="13"/>
  <c r="K7" i="13"/>
  <c r="L7" i="13"/>
  <c r="M7" i="13"/>
  <c r="H8" i="13"/>
  <c r="I8" i="13"/>
  <c r="J8" i="13"/>
  <c r="K8" i="13"/>
  <c r="L8" i="13"/>
  <c r="M8" i="13"/>
  <c r="H9" i="13"/>
  <c r="I9" i="13"/>
  <c r="J9" i="13"/>
  <c r="K9" i="13"/>
  <c r="L9" i="13"/>
  <c r="M9" i="13"/>
  <c r="H10" i="13"/>
  <c r="I10" i="13"/>
  <c r="J10" i="13"/>
  <c r="K10" i="13"/>
  <c r="L10" i="13"/>
  <c r="M10" i="13"/>
  <c r="H11" i="13"/>
  <c r="I11" i="13"/>
  <c r="J11" i="13"/>
  <c r="K11" i="13"/>
  <c r="L11" i="13"/>
  <c r="M11" i="13"/>
  <c r="H12" i="13"/>
  <c r="I12" i="13"/>
  <c r="J12" i="13"/>
  <c r="K12" i="13"/>
  <c r="L12" i="13"/>
  <c r="M12" i="13"/>
  <c r="H13" i="13"/>
  <c r="I13" i="13"/>
  <c r="J13" i="13"/>
  <c r="K13" i="13"/>
  <c r="L13" i="13"/>
  <c r="M13" i="13"/>
  <c r="H14" i="13"/>
  <c r="I14" i="13"/>
  <c r="J14" i="13"/>
  <c r="K14" i="13"/>
  <c r="L14" i="13"/>
  <c r="M14" i="13"/>
  <c r="D2" i="13"/>
  <c r="E2" i="13"/>
  <c r="F2" i="13"/>
  <c r="D3" i="13"/>
  <c r="E3" i="13"/>
  <c r="F3" i="13"/>
  <c r="D4" i="13"/>
  <c r="E4" i="13"/>
  <c r="F4" i="13"/>
  <c r="D5" i="13"/>
  <c r="E5" i="13"/>
  <c r="F5" i="13"/>
  <c r="D6" i="13"/>
  <c r="E6" i="13"/>
  <c r="F6" i="13"/>
  <c r="D7" i="13"/>
  <c r="E7" i="13"/>
  <c r="F7" i="13"/>
  <c r="D8" i="13"/>
  <c r="E8" i="13"/>
  <c r="F8" i="13"/>
  <c r="D9" i="13"/>
  <c r="E9" i="13"/>
  <c r="F9" i="13"/>
  <c r="D10" i="13"/>
  <c r="E10" i="13"/>
  <c r="F10" i="13"/>
  <c r="D11" i="13"/>
  <c r="E11" i="13"/>
  <c r="F11" i="13"/>
  <c r="D12" i="13"/>
  <c r="E12" i="13"/>
  <c r="F12" i="13"/>
  <c r="D13" i="13"/>
  <c r="E13" i="13"/>
  <c r="F13" i="13"/>
  <c r="D14" i="13"/>
  <c r="E14" i="13"/>
  <c r="F14" i="13"/>
  <c r="C2" i="13"/>
  <c r="C3" i="13"/>
  <c r="C4" i="13"/>
  <c r="C5" i="13"/>
  <c r="C6" i="13"/>
  <c r="C7" i="13"/>
  <c r="C8" i="13"/>
  <c r="C9" i="13"/>
  <c r="C10" i="13"/>
  <c r="C11" i="13"/>
  <c r="C12" i="13"/>
  <c r="C13" i="13"/>
  <c r="C14" i="13"/>
  <c r="B3" i="13"/>
  <c r="B4" i="13"/>
  <c r="B5" i="13"/>
  <c r="B6" i="13"/>
  <c r="B7" i="13"/>
  <c r="B8" i="13"/>
  <c r="B9" i="13"/>
  <c r="B10" i="13"/>
  <c r="B11" i="13"/>
  <c r="B12" i="13"/>
  <c r="B13" i="13"/>
  <c r="B14" i="13"/>
  <c r="B2" i="13"/>
  <c r="E23" i="1" l="1"/>
  <c r="E19" i="1"/>
  <c r="E20" i="1"/>
  <c r="E21" i="1"/>
  <c r="E22" i="1"/>
  <c r="E15" i="1"/>
  <c r="E16" i="1"/>
  <c r="E17" i="1"/>
  <c r="E18" i="1"/>
  <c r="E11" i="1"/>
  <c r="E12" i="1"/>
  <c r="E13" i="1"/>
  <c r="E14" i="1"/>
  <c r="E10" i="1"/>
  <c r="E3" i="1"/>
  <c r="D3" i="1"/>
  <c r="C37" i="4" l="1"/>
  <c r="C38" i="4"/>
  <c r="C39" i="4"/>
  <c r="C36" i="4"/>
  <c r="C51" i="3"/>
  <c r="C52" i="3" s="1"/>
  <c r="C50" i="3"/>
  <c r="D4" i="4" l="1"/>
  <c r="D3" i="9" l="1"/>
  <c r="D4" i="9"/>
  <c r="D5" i="9"/>
  <c r="D6" i="9"/>
  <c r="D7" i="9"/>
  <c r="D8" i="9"/>
  <c r="D9" i="9"/>
  <c r="D10" i="9"/>
  <c r="D11" i="9"/>
  <c r="D12" i="9"/>
  <c r="D13" i="9"/>
  <c r="D14" i="9"/>
  <c r="D15" i="9"/>
  <c r="D2" i="9"/>
  <c r="G8" i="1" l="1"/>
  <c r="D7" i="4"/>
  <c r="D6" i="3"/>
  <c r="D6" i="4" s="1"/>
  <c r="A1" i="5" s="1"/>
  <c r="B14" i="5"/>
  <c r="B15" i="5" s="1"/>
  <c r="B8" i="5"/>
  <c r="B35" i="4"/>
  <c r="D30" i="4"/>
  <c r="B25" i="4"/>
  <c r="G25" i="4" s="1"/>
  <c r="H33" i="4"/>
  <c r="B48" i="3"/>
  <c r="D43" i="3"/>
  <c r="B38" i="3"/>
  <c r="B16" i="5" l="1"/>
  <c r="B17" i="5" l="1"/>
  <c r="B18" i="5" l="1"/>
  <c r="B19" i="5" l="1"/>
  <c r="B20" i="5" l="1"/>
  <c r="B21" i="5" l="1"/>
  <c r="B22" i="5" l="1"/>
  <c r="B23" i="5" l="1"/>
  <c r="B24" i="5" l="1"/>
  <c r="B25" i="5" l="1"/>
  <c r="B26" i="5" l="1"/>
  <c r="B27" i="5" l="1"/>
  <c r="B28" i="5" l="1"/>
  <c r="B29" i="5" l="1"/>
  <c r="B30" i="5" l="1"/>
  <c r="B31" i="5" l="1"/>
  <c r="B32" i="5" l="1"/>
  <c r="B33" i="5" l="1"/>
  <c r="G23" i="1"/>
  <c r="H23" i="1" s="1"/>
  <c r="B21" i="2"/>
  <c r="C21" i="2"/>
  <c r="D21" i="2"/>
  <c r="B9" i="2"/>
  <c r="C9" i="2"/>
  <c r="D9" i="2"/>
  <c r="B10" i="2"/>
  <c r="C10" i="2"/>
  <c r="D10" i="2"/>
  <c r="B11" i="2"/>
  <c r="C11" i="2"/>
  <c r="D11" i="2"/>
  <c r="B12" i="2"/>
  <c r="C12" i="2"/>
  <c r="D12" i="2"/>
  <c r="B13" i="2"/>
  <c r="C13" i="2"/>
  <c r="D13" i="2"/>
  <c r="D11" i="6" s="1"/>
  <c r="B14" i="2"/>
  <c r="C14" i="2"/>
  <c r="D14" i="2"/>
  <c r="B15" i="2"/>
  <c r="C15" i="2"/>
  <c r="D15" i="2"/>
  <c r="B16" i="2"/>
  <c r="C16" i="2"/>
  <c r="D16" i="2"/>
  <c r="B17" i="2"/>
  <c r="C17" i="2"/>
  <c r="D17" i="2"/>
  <c r="B18" i="2"/>
  <c r="C18" i="2"/>
  <c r="D18" i="2"/>
  <c r="B19" i="2"/>
  <c r="C19" i="2"/>
  <c r="D19" i="2"/>
  <c r="B20" i="2"/>
  <c r="C20" i="2"/>
  <c r="D20" i="2"/>
  <c r="C8" i="2"/>
  <c r="D8" i="2"/>
  <c r="B8" i="2"/>
  <c r="I20" i="1"/>
  <c r="E12" i="9" s="1"/>
  <c r="F12" i="9" s="1"/>
  <c r="I21" i="1"/>
  <c r="E13" i="9" s="1"/>
  <c r="F13" i="9" s="1"/>
  <c r="I14" i="1"/>
  <c r="E6" i="9" s="1"/>
  <c r="F6" i="9" s="1"/>
  <c r="I16" i="1"/>
  <c r="E8" i="9" s="1"/>
  <c r="F8" i="9" s="1"/>
  <c r="I17" i="1"/>
  <c r="E9" i="9" s="1"/>
  <c r="F9" i="9" s="1"/>
  <c r="H12" i="1"/>
  <c r="E10" i="2" s="1"/>
  <c r="H14" i="1"/>
  <c r="E12" i="2" s="1"/>
  <c r="H15" i="1"/>
  <c r="E13" i="2" s="1"/>
  <c r="H16" i="1"/>
  <c r="E14" i="2" s="1"/>
  <c r="H17" i="1"/>
  <c r="E15" i="2" s="1"/>
  <c r="H18" i="1"/>
  <c r="E16" i="2" s="1"/>
  <c r="H19" i="1"/>
  <c r="E17" i="2" s="1"/>
  <c r="H20" i="1"/>
  <c r="E18" i="2" s="1"/>
  <c r="H21" i="1"/>
  <c r="E19" i="2" s="1"/>
  <c r="H22" i="1"/>
  <c r="E20" i="2" s="1"/>
  <c r="D23" i="2" l="1"/>
  <c r="I23" i="1"/>
  <c r="E15" i="9" s="1"/>
  <c r="F15" i="9" s="1"/>
  <c r="E21" i="2"/>
  <c r="I19" i="1"/>
  <c r="E11" i="9" s="1"/>
  <c r="F11" i="9" s="1"/>
  <c r="I22" i="1"/>
  <c r="E14" i="9" s="1"/>
  <c r="F14" i="9" s="1"/>
  <c r="I15" i="1"/>
  <c r="E7" i="9" s="1"/>
  <c r="F7" i="9" s="1"/>
  <c r="I18" i="1"/>
  <c r="E10" i="9" s="1"/>
  <c r="F10" i="9" s="1"/>
  <c r="F10" i="2"/>
  <c r="I12" i="1"/>
  <c r="E4" i="9" s="1"/>
  <c r="F4" i="9" s="1"/>
  <c r="D10" i="3"/>
  <c r="D10" i="4" s="1"/>
  <c r="D8" i="3"/>
  <c r="D8" i="4" s="1"/>
  <c r="D9" i="3"/>
  <c r="D9" i="4" s="1"/>
  <c r="D8" i="8"/>
  <c r="D8" i="6"/>
  <c r="D9" i="8"/>
  <c r="D9" i="6"/>
  <c r="B34" i="5"/>
  <c r="F20" i="2"/>
  <c r="I20" i="2" s="1"/>
  <c r="F18" i="2"/>
  <c r="I18" i="2" s="1"/>
  <c r="F16" i="2"/>
  <c r="I16" i="2" s="1"/>
  <c r="F14" i="2"/>
  <c r="I14" i="2" s="1"/>
  <c r="F12" i="2"/>
  <c r="I12" i="2" s="1"/>
  <c r="F21" i="2"/>
  <c r="I21" i="2" s="1"/>
  <c r="F19" i="2"/>
  <c r="I19" i="2" s="1"/>
  <c r="F17" i="2"/>
  <c r="I17" i="2" s="1"/>
  <c r="F15" i="2"/>
  <c r="I15" i="2" s="1"/>
  <c r="F13" i="2"/>
  <c r="I13" i="2" s="1"/>
  <c r="G10" i="1"/>
  <c r="H10" i="1" s="1"/>
  <c r="E8" i="2" s="1"/>
  <c r="G11" i="1"/>
  <c r="H11" i="1" s="1"/>
  <c r="G13" i="1"/>
  <c r="H13" i="1" s="1"/>
  <c r="M10" i="2" l="1"/>
  <c r="I10" i="2"/>
  <c r="L10" i="2"/>
  <c r="K10" i="2"/>
  <c r="I13" i="1"/>
  <c r="E5" i="9" s="1"/>
  <c r="F5" i="9" s="1"/>
  <c r="E11" i="2"/>
  <c r="F11" i="2" s="1"/>
  <c r="I11" i="1"/>
  <c r="E3" i="9" s="1"/>
  <c r="F3" i="9" s="1"/>
  <c r="E9" i="2"/>
  <c r="F9" i="2" s="1"/>
  <c r="K16" i="2"/>
  <c r="L16" i="2"/>
  <c r="M16" i="2"/>
  <c r="M18" i="2"/>
  <c r="K18" i="2"/>
  <c r="L18" i="2"/>
  <c r="K19" i="2"/>
  <c r="L19" i="2"/>
  <c r="M19" i="2"/>
  <c r="K21" i="2"/>
  <c r="L21" i="2"/>
  <c r="M21" i="2"/>
  <c r="L14" i="2"/>
  <c r="M14" i="2"/>
  <c r="K14" i="2"/>
  <c r="L13" i="2"/>
  <c r="M13" i="2"/>
  <c r="K13" i="2"/>
  <c r="L15" i="2"/>
  <c r="M15" i="2"/>
  <c r="K15" i="2"/>
  <c r="K20" i="2"/>
  <c r="L20" i="2"/>
  <c r="M20" i="2"/>
  <c r="K17" i="2"/>
  <c r="M17" i="2"/>
  <c r="L17" i="2"/>
  <c r="L12" i="2"/>
  <c r="K12" i="2"/>
  <c r="M12" i="2"/>
  <c r="B35" i="5"/>
  <c r="F8" i="2"/>
  <c r="I10" i="1"/>
  <c r="F23" i="1"/>
  <c r="F22" i="1"/>
  <c r="F21" i="1"/>
  <c r="F20" i="1"/>
  <c r="F19" i="1"/>
  <c r="F18" i="1"/>
  <c r="F17" i="1"/>
  <c r="F16" i="1"/>
  <c r="F15" i="1"/>
  <c r="F14" i="1"/>
  <c r="F12" i="1"/>
  <c r="F11" i="1"/>
  <c r="F10" i="1"/>
  <c r="I8" i="2" l="1"/>
  <c r="F23" i="2"/>
  <c r="F24" i="2" s="1"/>
  <c r="K11" i="2"/>
  <c r="I11" i="2"/>
  <c r="L9" i="2"/>
  <c r="I9" i="2"/>
  <c r="L11" i="2"/>
  <c r="M11" i="2"/>
  <c r="K9" i="2"/>
  <c r="M9" i="2"/>
  <c r="I24" i="1"/>
  <c r="F22" i="2" s="1"/>
  <c r="E2" i="9"/>
  <c r="F2" i="9" s="1"/>
  <c r="M8" i="2"/>
  <c r="L8" i="2"/>
  <c r="K8" i="2"/>
  <c r="D12" i="3"/>
  <c r="D14" i="3" s="1"/>
  <c r="D14" i="4" s="1"/>
  <c r="B36" i="5"/>
  <c r="J23" i="1"/>
  <c r="L23" i="1"/>
  <c r="I15" i="9" s="1"/>
  <c r="J22" i="1"/>
  <c r="L22" i="1"/>
  <c r="I14" i="9" s="1"/>
  <c r="J21" i="1"/>
  <c r="L21" i="1"/>
  <c r="I13" i="9" s="1"/>
  <c r="J20" i="1"/>
  <c r="L20" i="1"/>
  <c r="I12" i="9" s="1"/>
  <c r="K17" i="1"/>
  <c r="L15" i="1"/>
  <c r="I7" i="9" s="1"/>
  <c r="J15" i="1"/>
  <c r="L18" i="1"/>
  <c r="I10" i="9" s="1"/>
  <c r="J18" i="1"/>
  <c r="J17" i="1"/>
  <c r="G9" i="9" s="1"/>
  <c r="L17" i="1"/>
  <c r="I9" i="9" s="1"/>
  <c r="L16" i="1"/>
  <c r="I8" i="9" s="1"/>
  <c r="J16" i="1"/>
  <c r="L19" i="1"/>
  <c r="I11" i="9" s="1"/>
  <c r="J19" i="1"/>
  <c r="J14" i="1"/>
  <c r="L14" i="1"/>
  <c r="I6" i="9" s="1"/>
  <c r="J12" i="1"/>
  <c r="L12" i="1"/>
  <c r="I4" i="9" s="1"/>
  <c r="J13" i="1"/>
  <c r="L13" i="1"/>
  <c r="I5" i="9" s="1"/>
  <c r="J11" i="1"/>
  <c r="L11" i="1"/>
  <c r="I3" i="9" s="1"/>
  <c r="J10" i="1"/>
  <c r="L10" i="1"/>
  <c r="I2" i="9" s="1"/>
  <c r="K23" i="1" l="1"/>
  <c r="H15" i="9" s="1"/>
  <c r="G15" i="9"/>
  <c r="K21" i="1"/>
  <c r="G13" i="9"/>
  <c r="K19" i="1"/>
  <c r="G11" i="9"/>
  <c r="K22" i="1"/>
  <c r="G14" i="9"/>
  <c r="K20" i="1"/>
  <c r="G12" i="9"/>
  <c r="K18" i="1"/>
  <c r="G10" i="9"/>
  <c r="K16" i="1"/>
  <c r="G8" i="9"/>
  <c r="K15" i="1"/>
  <c r="G7" i="9"/>
  <c r="M17" i="1"/>
  <c r="H9" i="9"/>
  <c r="G15" i="2"/>
  <c r="N15" i="2" s="1"/>
  <c r="K12" i="1"/>
  <c r="G4" i="9"/>
  <c r="K13" i="1"/>
  <c r="G5" i="9"/>
  <c r="K14" i="1"/>
  <c r="G6" i="9"/>
  <c r="K11" i="1"/>
  <c r="M11" i="1" s="1"/>
  <c r="G3" i="9"/>
  <c r="K10" i="1"/>
  <c r="H2" i="9" s="1"/>
  <c r="G2" i="9"/>
  <c r="J24" i="1"/>
  <c r="L24" i="1"/>
  <c r="K24" i="1"/>
  <c r="M24" i="1" s="1"/>
  <c r="D34" i="3"/>
  <c r="D13" i="3"/>
  <c r="D13" i="4" s="1"/>
  <c r="D21" i="3"/>
  <c r="D22" i="3" s="1"/>
  <c r="D23" i="3" s="1"/>
  <c r="D24" i="3" s="1"/>
  <c r="D12" i="4"/>
  <c r="I21" i="4" s="1"/>
  <c r="D25" i="4"/>
  <c r="B37" i="5"/>
  <c r="M23" i="1"/>
  <c r="G21" i="2"/>
  <c r="N21" i="2" s="1"/>
  <c r="M10" i="1"/>
  <c r="G8" i="2"/>
  <c r="M21" i="1"/>
  <c r="M13" i="1"/>
  <c r="M16" i="1"/>
  <c r="M15" i="1"/>
  <c r="I23" i="4" l="1"/>
  <c r="H21" i="2"/>
  <c r="O21" i="2" s="1"/>
  <c r="J15" i="9"/>
  <c r="M22" i="1"/>
  <c r="H14" i="9"/>
  <c r="G20" i="2"/>
  <c r="N20" i="2" s="1"/>
  <c r="M20" i="1"/>
  <c r="H12" i="9"/>
  <c r="G18" i="2"/>
  <c r="N18" i="2" s="1"/>
  <c r="M19" i="1"/>
  <c r="H11" i="9"/>
  <c r="G17" i="2"/>
  <c r="N17" i="2" s="1"/>
  <c r="J13" i="9"/>
  <c r="H19" i="2"/>
  <c r="O19" i="2" s="1"/>
  <c r="H13" i="9"/>
  <c r="G19" i="2"/>
  <c r="N19" i="2" s="1"/>
  <c r="J7" i="9"/>
  <c r="H13" i="2"/>
  <c r="O13" i="2" s="1"/>
  <c r="H7" i="9"/>
  <c r="G13" i="2"/>
  <c r="N13" i="2" s="1"/>
  <c r="J8" i="9"/>
  <c r="H14" i="2"/>
  <c r="O14" i="2" s="1"/>
  <c r="H8" i="9"/>
  <c r="G14" i="2"/>
  <c r="N14" i="2" s="1"/>
  <c r="J9" i="9"/>
  <c r="H15" i="2"/>
  <c r="O15" i="2" s="1"/>
  <c r="M18" i="1"/>
  <c r="H10" i="9"/>
  <c r="G16" i="2"/>
  <c r="N16" i="2" s="1"/>
  <c r="H6" i="9"/>
  <c r="G12" i="2"/>
  <c r="N12" i="2" s="1"/>
  <c r="M14" i="1"/>
  <c r="G11" i="2"/>
  <c r="N11" i="2" s="1"/>
  <c r="H5" i="9"/>
  <c r="H11" i="2"/>
  <c r="O11" i="2" s="1"/>
  <c r="J5" i="9"/>
  <c r="M12" i="1"/>
  <c r="H4" i="9"/>
  <c r="G10" i="2"/>
  <c r="N10" i="2" s="1"/>
  <c r="H9" i="2"/>
  <c r="O9" i="2" s="1"/>
  <c r="J3" i="9"/>
  <c r="G9" i="2"/>
  <c r="N9" i="2" s="1"/>
  <c r="H3" i="9"/>
  <c r="H8" i="2"/>
  <c r="J2" i="9"/>
  <c r="D15" i="3"/>
  <c r="N8" i="2"/>
  <c r="O8" i="2"/>
  <c r="D26" i="3"/>
  <c r="D27" i="3" s="1"/>
  <c r="D30" i="3" s="1"/>
  <c r="D15" i="4"/>
  <c r="D21" i="4"/>
  <c r="D22" i="4" s="1"/>
  <c r="D23" i="4" s="1"/>
  <c r="D24" i="4" s="1"/>
  <c r="D26" i="4" s="1"/>
  <c r="D36" i="3"/>
  <c r="D25" i="3"/>
  <c r="B38" i="5"/>
  <c r="I25" i="4" l="1"/>
  <c r="I24" i="4"/>
  <c r="I26" i="4" s="1"/>
  <c r="I31" i="4" s="1"/>
  <c r="I33" i="4" s="1"/>
  <c r="J11" i="9"/>
  <c r="H17" i="2"/>
  <c r="O17" i="2" s="1"/>
  <c r="J12" i="9"/>
  <c r="H18" i="2"/>
  <c r="O18" i="2" s="1"/>
  <c r="J14" i="9"/>
  <c r="H20" i="2"/>
  <c r="O20" i="2" s="1"/>
  <c r="J10" i="9"/>
  <c r="H16" i="2"/>
  <c r="O16" i="2" s="1"/>
  <c r="J6" i="9"/>
  <c r="H12" i="2"/>
  <c r="O12" i="2" s="1"/>
  <c r="J4" i="9"/>
  <c r="H10" i="2"/>
  <c r="O10" i="2" s="1"/>
  <c r="G22" i="2"/>
  <c r="D37" i="3"/>
  <c r="D38" i="3"/>
  <c r="D35" i="4"/>
  <c r="D28" i="4"/>
  <c r="D31" i="4" s="1"/>
  <c r="D33" i="4" s="1"/>
  <c r="B39" i="5"/>
  <c r="H22" i="2" l="1"/>
  <c r="D39" i="3"/>
  <c r="K3" i="5"/>
  <c r="D38" i="4"/>
  <c r="D36" i="4"/>
  <c r="D42" i="4"/>
  <c r="D43" i="4"/>
  <c r="D37" i="4"/>
  <c r="D39" i="4"/>
  <c r="D44" i="4"/>
  <c r="B40" i="5"/>
  <c r="D48" i="3" l="1"/>
  <c r="K2" i="5" s="1"/>
  <c r="B6" i="5" s="1"/>
  <c r="D41" i="3"/>
  <c r="D44" i="3" s="1"/>
  <c r="D46" i="3" s="1"/>
  <c r="B41" i="5"/>
  <c r="D55" i="3" l="1"/>
  <c r="D49" i="3"/>
  <c r="D50" i="3"/>
  <c r="D52" i="3"/>
  <c r="D56" i="3"/>
  <c r="D51" i="3"/>
  <c r="D57" i="3"/>
  <c r="F13" i="5"/>
  <c r="D14" i="5"/>
  <c r="B10" i="5"/>
  <c r="C41" i="5" s="1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B42" i="5"/>
  <c r="D41" i="5"/>
  <c r="C14" i="5" l="1"/>
  <c r="E14" i="5" s="1"/>
  <c r="F14" i="5" s="1"/>
  <c r="C16" i="5"/>
  <c r="E16" i="5" s="1"/>
  <c r="C15" i="5"/>
  <c r="E15" i="5" s="1"/>
  <c r="C17" i="5"/>
  <c r="E17" i="5" s="1"/>
  <c r="C18" i="5"/>
  <c r="E18" i="5" s="1"/>
  <c r="C19" i="5"/>
  <c r="E19" i="5" s="1"/>
  <c r="C20" i="5"/>
  <c r="E20" i="5" s="1"/>
  <c r="C21" i="5"/>
  <c r="E21" i="5" s="1"/>
  <c r="C22" i="5"/>
  <c r="E22" i="5" s="1"/>
  <c r="C23" i="5"/>
  <c r="E23" i="5" s="1"/>
  <c r="C24" i="5"/>
  <c r="E24" i="5" s="1"/>
  <c r="C25" i="5"/>
  <c r="E25" i="5" s="1"/>
  <c r="C26" i="5"/>
  <c r="E26" i="5" s="1"/>
  <c r="C27" i="5"/>
  <c r="E27" i="5" s="1"/>
  <c r="C28" i="5"/>
  <c r="E28" i="5" s="1"/>
  <c r="C29" i="5"/>
  <c r="E29" i="5" s="1"/>
  <c r="C30" i="5"/>
  <c r="E30" i="5" s="1"/>
  <c r="C31" i="5"/>
  <c r="E31" i="5" s="1"/>
  <c r="C32" i="5"/>
  <c r="E32" i="5" s="1"/>
  <c r="C33" i="5"/>
  <c r="E33" i="5" s="1"/>
  <c r="C34" i="5"/>
  <c r="E34" i="5" s="1"/>
  <c r="C35" i="5"/>
  <c r="E35" i="5" s="1"/>
  <c r="C36" i="5"/>
  <c r="E36" i="5" s="1"/>
  <c r="C37" i="5"/>
  <c r="E37" i="5" s="1"/>
  <c r="C38" i="5"/>
  <c r="E38" i="5" s="1"/>
  <c r="C39" i="5"/>
  <c r="E39" i="5" s="1"/>
  <c r="C40" i="5"/>
  <c r="E40" i="5" s="1"/>
  <c r="E41" i="5"/>
  <c r="C42" i="5"/>
  <c r="B43" i="5"/>
  <c r="D42" i="5"/>
  <c r="F15" i="5" l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B44" i="5"/>
  <c r="C43" i="5"/>
  <c r="D43" i="5"/>
  <c r="E42" i="5"/>
  <c r="F42" i="5" l="1"/>
  <c r="E43" i="5"/>
  <c r="C44" i="5"/>
  <c r="B45" i="5"/>
  <c r="D44" i="5"/>
  <c r="F43" i="5" l="1"/>
  <c r="C45" i="5"/>
  <c r="B46" i="5"/>
  <c r="D45" i="5"/>
  <c r="E44" i="5"/>
  <c r="F44" i="5" l="1"/>
  <c r="E45" i="5"/>
  <c r="B47" i="5"/>
  <c r="C46" i="5"/>
  <c r="D46" i="5"/>
  <c r="F45" i="5" l="1"/>
  <c r="E46" i="5"/>
  <c r="C47" i="5"/>
  <c r="B48" i="5"/>
  <c r="D47" i="5"/>
  <c r="F46" i="5" l="1"/>
  <c r="B49" i="5"/>
  <c r="C48" i="5"/>
  <c r="D48" i="5"/>
  <c r="E47" i="5"/>
  <c r="F47" i="5" l="1"/>
  <c r="E48" i="5"/>
  <c r="B50" i="5"/>
  <c r="D49" i="5"/>
  <c r="C49" i="5"/>
  <c r="F48" i="5" l="1"/>
  <c r="E49" i="5"/>
  <c r="C50" i="5"/>
  <c r="B51" i="5"/>
  <c r="D50" i="5"/>
  <c r="F49" i="5" l="1"/>
  <c r="B52" i="5"/>
  <c r="C51" i="5"/>
  <c r="D51" i="5"/>
  <c r="E50" i="5"/>
  <c r="F50" i="5" l="1"/>
  <c r="E51" i="5"/>
  <c r="C52" i="5"/>
  <c r="B53" i="5"/>
  <c r="D52" i="5"/>
  <c r="F51" i="5" l="1"/>
  <c r="C53" i="5"/>
  <c r="B54" i="5"/>
  <c r="D53" i="5"/>
  <c r="E52" i="5"/>
  <c r="F52" i="5" l="1"/>
  <c r="B55" i="5"/>
  <c r="C54" i="5"/>
  <c r="D54" i="5"/>
  <c r="E53" i="5"/>
  <c r="F53" i="5" l="1"/>
  <c r="E54" i="5"/>
  <c r="F54" i="5" s="1"/>
  <c r="C55" i="5"/>
  <c r="B56" i="5"/>
  <c r="D55" i="5"/>
  <c r="B57" i="5" l="1"/>
  <c r="C56" i="5"/>
  <c r="D56" i="5"/>
  <c r="E55" i="5"/>
  <c r="F55" i="5" s="1"/>
  <c r="E56" i="5" l="1"/>
  <c r="F56" i="5" s="1"/>
  <c r="B58" i="5"/>
  <c r="C57" i="5"/>
  <c r="D57" i="5"/>
  <c r="C58" i="5" l="1"/>
  <c r="B59" i="5"/>
  <c r="D58" i="5"/>
  <c r="E57" i="5"/>
  <c r="F57" i="5" s="1"/>
  <c r="B60" i="5" l="1"/>
  <c r="C59" i="5"/>
  <c r="D59" i="5"/>
  <c r="E58" i="5"/>
  <c r="F58" i="5" s="1"/>
  <c r="E59" i="5" l="1"/>
  <c r="F59" i="5" s="1"/>
  <c r="C60" i="5"/>
  <c r="B61" i="5"/>
  <c r="D60" i="5"/>
  <c r="C61" i="5" l="1"/>
  <c r="B62" i="5"/>
  <c r="D61" i="5"/>
  <c r="E60" i="5"/>
  <c r="F60" i="5" s="1"/>
  <c r="B63" i="5" l="1"/>
  <c r="C62" i="5"/>
  <c r="D62" i="5"/>
  <c r="E61" i="5"/>
  <c r="F61" i="5" s="1"/>
  <c r="E62" i="5" l="1"/>
  <c r="F62" i="5" s="1"/>
  <c r="C63" i="5"/>
  <c r="B64" i="5"/>
  <c r="D63" i="5"/>
  <c r="B65" i="5" l="1"/>
  <c r="C64" i="5"/>
  <c r="D64" i="5"/>
  <c r="E63" i="5"/>
  <c r="F63" i="5" s="1"/>
  <c r="E64" i="5" l="1"/>
  <c r="F64" i="5" s="1"/>
  <c r="B66" i="5"/>
  <c r="D65" i="5"/>
  <c r="C65" i="5"/>
  <c r="E65" i="5" l="1"/>
  <c r="F65" i="5" s="1"/>
  <c r="C66" i="5"/>
  <c r="B67" i="5"/>
  <c r="D66" i="5"/>
  <c r="B68" i="5" l="1"/>
  <c r="C67" i="5"/>
  <c r="D67" i="5"/>
  <c r="E66" i="5"/>
  <c r="F66" i="5" s="1"/>
  <c r="E67" i="5" l="1"/>
  <c r="F67" i="5" s="1"/>
  <c r="C68" i="5"/>
  <c r="B69" i="5"/>
  <c r="D68" i="5"/>
  <c r="C69" i="5" l="1"/>
  <c r="B70" i="5"/>
  <c r="D69" i="5"/>
  <c r="E68" i="5"/>
  <c r="F68" i="5" s="1"/>
  <c r="E69" i="5" l="1"/>
  <c r="F69" i="5" s="1"/>
  <c r="B71" i="5"/>
  <c r="C70" i="5"/>
  <c r="D70" i="5"/>
  <c r="E70" i="5" l="1"/>
  <c r="F70" i="5" s="1"/>
  <c r="C71" i="5"/>
  <c r="B72" i="5"/>
  <c r="D71" i="5"/>
  <c r="B73" i="5" l="1"/>
  <c r="C72" i="5"/>
  <c r="D72" i="5"/>
  <c r="E71" i="5"/>
  <c r="F71" i="5" s="1"/>
  <c r="E72" i="5" l="1"/>
  <c r="F72" i="5" s="1"/>
  <c r="B74" i="5"/>
  <c r="D73" i="5"/>
  <c r="C73" i="5"/>
  <c r="E73" i="5" l="1"/>
  <c r="F73" i="5" s="1"/>
  <c r="C74" i="5"/>
  <c r="B75" i="5"/>
  <c r="D74" i="5"/>
  <c r="B76" i="5" l="1"/>
  <c r="C75" i="5"/>
  <c r="D75" i="5"/>
  <c r="E74" i="5"/>
  <c r="F74" i="5" s="1"/>
  <c r="E75" i="5" l="1"/>
  <c r="F75" i="5" s="1"/>
  <c r="C76" i="5"/>
  <c r="B77" i="5"/>
  <c r="D76" i="5"/>
  <c r="C77" i="5" l="1"/>
  <c r="B78" i="5"/>
  <c r="D77" i="5"/>
  <c r="E76" i="5"/>
  <c r="F76" i="5" s="1"/>
  <c r="B79" i="5" l="1"/>
  <c r="C78" i="5"/>
  <c r="D78" i="5"/>
  <c r="E77" i="5"/>
  <c r="F77" i="5" s="1"/>
  <c r="E78" i="5" l="1"/>
  <c r="F78" i="5" s="1"/>
  <c r="C79" i="5"/>
  <c r="B80" i="5"/>
  <c r="D79" i="5"/>
  <c r="B81" i="5" l="1"/>
  <c r="C80" i="5"/>
  <c r="D80" i="5"/>
  <c r="E79" i="5"/>
  <c r="F79" i="5" s="1"/>
  <c r="E80" i="5" l="1"/>
  <c r="F80" i="5" s="1"/>
  <c r="B82" i="5"/>
  <c r="D81" i="5"/>
  <c r="C81" i="5"/>
  <c r="E81" i="5" l="1"/>
  <c r="F81" i="5" s="1"/>
  <c r="C82" i="5"/>
  <c r="B83" i="5"/>
  <c r="D82" i="5"/>
  <c r="B84" i="5" l="1"/>
  <c r="C83" i="5"/>
  <c r="D83" i="5"/>
  <c r="E82" i="5"/>
  <c r="F82" i="5" s="1"/>
  <c r="C84" i="5" l="1"/>
  <c r="B85" i="5"/>
  <c r="D84" i="5"/>
  <c r="E83" i="5"/>
  <c r="F83" i="5" s="1"/>
  <c r="E84" i="5" l="1"/>
  <c r="F84" i="5" s="1"/>
  <c r="C85" i="5"/>
  <c r="B86" i="5"/>
  <c r="D85" i="5"/>
  <c r="B87" i="5" l="1"/>
  <c r="C86" i="5"/>
  <c r="D86" i="5"/>
  <c r="E85" i="5"/>
  <c r="F85" i="5" s="1"/>
  <c r="E86" i="5" l="1"/>
  <c r="F86" i="5" s="1"/>
  <c r="C87" i="5"/>
  <c r="B88" i="5"/>
  <c r="D87" i="5"/>
  <c r="E87" i="5" l="1"/>
  <c r="F87" i="5" s="1"/>
  <c r="B89" i="5"/>
  <c r="C88" i="5"/>
  <c r="D88" i="5"/>
  <c r="B90" i="5" l="1"/>
  <c r="C89" i="5"/>
  <c r="D89" i="5"/>
  <c r="E88" i="5"/>
  <c r="F88" i="5" s="1"/>
  <c r="E89" i="5" l="1"/>
  <c r="F89" i="5" s="1"/>
  <c r="C90" i="5"/>
  <c r="B91" i="5"/>
  <c r="D90" i="5"/>
  <c r="B92" i="5" l="1"/>
  <c r="C91" i="5"/>
  <c r="D91" i="5"/>
  <c r="E90" i="5"/>
  <c r="F90" i="5" s="1"/>
  <c r="E91" i="5" l="1"/>
  <c r="F91" i="5" s="1"/>
  <c r="C92" i="5"/>
  <c r="B93" i="5"/>
  <c r="D92" i="5"/>
  <c r="E92" i="5" l="1"/>
  <c r="F92" i="5" s="1"/>
  <c r="C93" i="5"/>
  <c r="B94" i="5"/>
  <c r="D93" i="5"/>
  <c r="B95" i="5" l="1"/>
  <c r="C94" i="5"/>
  <c r="D94" i="5"/>
  <c r="E93" i="5"/>
  <c r="F93" i="5" s="1"/>
  <c r="E94" i="5" l="1"/>
  <c r="F94" i="5" s="1"/>
  <c r="C95" i="5"/>
  <c r="B96" i="5"/>
  <c r="D95" i="5"/>
  <c r="E95" i="5" l="1"/>
  <c r="F95" i="5" s="1"/>
  <c r="B97" i="5"/>
  <c r="C96" i="5"/>
  <c r="D96" i="5"/>
  <c r="E96" i="5" l="1"/>
  <c r="F96" i="5" s="1"/>
  <c r="B98" i="5"/>
  <c r="D97" i="5"/>
  <c r="C97" i="5"/>
  <c r="E97" i="5" l="1"/>
  <c r="F97" i="5" s="1"/>
  <c r="C98" i="5"/>
  <c r="B99" i="5"/>
  <c r="D98" i="5"/>
  <c r="B100" i="5" l="1"/>
  <c r="C99" i="5"/>
  <c r="D99" i="5"/>
  <c r="E98" i="5"/>
  <c r="F98" i="5" s="1"/>
  <c r="E99" i="5" l="1"/>
  <c r="F99" i="5" s="1"/>
  <c r="C100" i="5"/>
  <c r="B101" i="5"/>
  <c r="D100" i="5"/>
  <c r="C101" i="5" l="1"/>
  <c r="B102" i="5"/>
  <c r="D101" i="5"/>
  <c r="E100" i="5"/>
  <c r="F100" i="5" s="1"/>
  <c r="B103" i="5" l="1"/>
  <c r="C102" i="5"/>
  <c r="D102" i="5"/>
  <c r="E101" i="5"/>
  <c r="F101" i="5" s="1"/>
  <c r="E102" i="5" l="1"/>
  <c r="F102" i="5" s="1"/>
  <c r="C103" i="5"/>
  <c r="B104" i="5"/>
  <c r="D103" i="5"/>
  <c r="B105" i="5" l="1"/>
  <c r="C104" i="5"/>
  <c r="D104" i="5"/>
  <c r="E103" i="5"/>
  <c r="F103" i="5" s="1"/>
  <c r="E104" i="5" l="1"/>
  <c r="F104" i="5" s="1"/>
  <c r="B106" i="5"/>
  <c r="D105" i="5"/>
  <c r="C105" i="5"/>
  <c r="E105" i="5" l="1"/>
  <c r="F105" i="5" s="1"/>
  <c r="C106" i="5"/>
  <c r="B107" i="5"/>
  <c r="D106" i="5"/>
  <c r="B108" i="5" l="1"/>
  <c r="C107" i="5"/>
  <c r="D107" i="5"/>
  <c r="E106" i="5"/>
  <c r="F106" i="5" s="1"/>
  <c r="E107" i="5" l="1"/>
  <c r="F107" i="5" s="1"/>
  <c r="C108" i="5"/>
  <c r="B109" i="5"/>
  <c r="D108" i="5"/>
  <c r="E108" i="5" l="1"/>
  <c r="F108" i="5" s="1"/>
  <c r="C109" i="5"/>
  <c r="B110" i="5"/>
  <c r="D109" i="5"/>
  <c r="B111" i="5" l="1"/>
  <c r="C110" i="5"/>
  <c r="D110" i="5"/>
  <c r="E109" i="5"/>
  <c r="F109" i="5" s="1"/>
  <c r="E110" i="5" l="1"/>
  <c r="F110" i="5" s="1"/>
  <c r="C111" i="5"/>
  <c r="B112" i="5"/>
  <c r="D111" i="5"/>
  <c r="B113" i="5" l="1"/>
  <c r="C112" i="5"/>
  <c r="D112" i="5"/>
  <c r="E111" i="5"/>
  <c r="F111" i="5" s="1"/>
  <c r="E112" i="5" l="1"/>
  <c r="F112" i="5" s="1"/>
  <c r="B114" i="5"/>
  <c r="D113" i="5"/>
  <c r="C113" i="5"/>
  <c r="E113" i="5" l="1"/>
  <c r="F113" i="5" s="1"/>
  <c r="C114" i="5"/>
  <c r="B115" i="5"/>
  <c r="D114" i="5"/>
  <c r="B116" i="5" l="1"/>
  <c r="C115" i="5"/>
  <c r="D115" i="5"/>
  <c r="E114" i="5"/>
  <c r="F114" i="5" s="1"/>
  <c r="E115" i="5" l="1"/>
  <c r="F115" i="5" s="1"/>
  <c r="C116" i="5"/>
  <c r="B117" i="5"/>
  <c r="D116" i="5"/>
  <c r="C117" i="5" l="1"/>
  <c r="B118" i="5"/>
  <c r="D117" i="5"/>
  <c r="E116" i="5"/>
  <c r="F116" i="5" s="1"/>
  <c r="B119" i="5" l="1"/>
  <c r="C118" i="5"/>
  <c r="D118" i="5"/>
  <c r="E117" i="5"/>
  <c r="F117" i="5" s="1"/>
  <c r="E118" i="5" l="1"/>
  <c r="F118" i="5" s="1"/>
  <c r="C119" i="5"/>
  <c r="B120" i="5"/>
  <c r="D119" i="5"/>
  <c r="B121" i="5" l="1"/>
  <c r="C120" i="5"/>
  <c r="D120" i="5"/>
  <c r="E119" i="5"/>
  <c r="F119" i="5" s="1"/>
  <c r="E120" i="5" l="1"/>
  <c r="F120" i="5" s="1"/>
  <c r="B122" i="5"/>
  <c r="C121" i="5"/>
  <c r="D121" i="5"/>
  <c r="E121" i="5" l="1"/>
  <c r="F121" i="5" s="1"/>
  <c r="C122" i="5"/>
  <c r="B123" i="5"/>
  <c r="D122" i="5"/>
  <c r="B124" i="5" l="1"/>
  <c r="C123" i="5"/>
  <c r="D123" i="5"/>
  <c r="E122" i="5"/>
  <c r="F122" i="5" s="1"/>
  <c r="E123" i="5" l="1"/>
  <c r="F123" i="5" s="1"/>
  <c r="C124" i="5"/>
  <c r="B125" i="5"/>
  <c r="D124" i="5"/>
  <c r="C125" i="5" l="1"/>
  <c r="B126" i="5"/>
  <c r="D125" i="5"/>
  <c r="E124" i="5"/>
  <c r="F124" i="5" s="1"/>
  <c r="B127" i="5" l="1"/>
  <c r="C126" i="5"/>
  <c r="D126" i="5"/>
  <c r="E125" i="5"/>
  <c r="F125" i="5" s="1"/>
  <c r="E126" i="5" l="1"/>
  <c r="F126" i="5" s="1"/>
  <c r="C127" i="5"/>
  <c r="B128" i="5"/>
  <c r="D127" i="5"/>
  <c r="E127" i="5" l="1"/>
  <c r="F127" i="5" s="1"/>
  <c r="B129" i="5"/>
  <c r="C128" i="5"/>
  <c r="D128" i="5"/>
  <c r="E128" i="5" l="1"/>
  <c r="F128" i="5" s="1"/>
  <c r="D129" i="5"/>
  <c r="B130" i="5"/>
  <c r="C129" i="5"/>
  <c r="E129" i="5" l="1"/>
  <c r="F129" i="5" s="1"/>
  <c r="C130" i="5"/>
  <c r="B131" i="5"/>
  <c r="D130" i="5"/>
  <c r="B132" i="5" l="1"/>
  <c r="C131" i="5"/>
  <c r="D131" i="5"/>
  <c r="E130" i="5"/>
  <c r="F130" i="5" s="1"/>
  <c r="E131" i="5" l="1"/>
  <c r="F131" i="5" s="1"/>
  <c r="C132" i="5"/>
  <c r="B133" i="5"/>
  <c r="D132" i="5"/>
  <c r="C133" i="5" l="1"/>
  <c r="D133" i="5"/>
  <c r="E132" i="5"/>
  <c r="F132" i="5" s="1"/>
  <c r="E133" i="5" l="1"/>
  <c r="F133" i="5" s="1"/>
</calcChain>
</file>

<file path=xl/sharedStrings.xml><?xml version="1.0" encoding="utf-8"?>
<sst xmlns="http://schemas.openxmlformats.org/spreadsheetml/2006/main" count="411" uniqueCount="136">
  <si>
    <t>P1-15</t>
  </si>
  <si>
    <t>P2-14</t>
  </si>
  <si>
    <t>P3-18</t>
  </si>
  <si>
    <t>Unit No.</t>
  </si>
  <si>
    <t>Type</t>
  </si>
  <si>
    <t>Area (sqm)</t>
  </si>
  <si>
    <t>Price/sqm</t>
  </si>
  <si>
    <t>Total List Price (TLP)</t>
  </si>
  <si>
    <t>VAT</t>
  </si>
  <si>
    <t>Total Selling Price (TSP)</t>
  </si>
  <si>
    <t>Miscellaneous Fee  (MF)</t>
  </si>
  <si>
    <t>Total Contract Price (TCP)</t>
  </si>
  <si>
    <t>2 Torre</t>
  </si>
  <si>
    <t>Base Price</t>
  </si>
  <si>
    <t>Studio</t>
  </si>
  <si>
    <t>2 Bedroom</t>
  </si>
  <si>
    <t>1 Bedroom</t>
  </si>
  <si>
    <t>Premium</t>
  </si>
  <si>
    <t>Incremental per Floor</t>
  </si>
  <si>
    <t>Incre. per floor</t>
  </si>
  <si>
    <t>Studio Premium</t>
  </si>
  <si>
    <t>Note:</t>
  </si>
  <si>
    <t xml:space="preserve">   a general idea of the project. </t>
  </si>
  <si>
    <t>Prepared By:</t>
  </si>
  <si>
    <t>WVT</t>
  </si>
  <si>
    <t>Approved By:</t>
  </si>
  <si>
    <t>EAR</t>
  </si>
  <si>
    <t>Endorsed By:</t>
  </si>
  <si>
    <t>LLR</t>
  </si>
  <si>
    <t>1. Prices are inclusive of VAT, if applicable.</t>
  </si>
  <si>
    <t>2. TCP are inclusive of miscellaneous fee.</t>
  </si>
  <si>
    <t>3. Above prices are subject to change without prior notice.</t>
  </si>
  <si>
    <t xml:space="preserve">4. The unit areas may change based on the final construction drawings.  Attached plans are intended to give buyer </t>
  </si>
  <si>
    <t>COMPUTATION SHEET</t>
  </si>
  <si>
    <t>Date</t>
  </si>
  <si>
    <t>Project</t>
  </si>
  <si>
    <t>Unit Type</t>
  </si>
  <si>
    <t>Area</t>
  </si>
  <si>
    <t>(c)'</t>
  </si>
  <si>
    <t>Total List Price</t>
  </si>
  <si>
    <t>Miscellaneous Fee</t>
  </si>
  <si>
    <t>Total Contract Price</t>
  </si>
  <si>
    <t>TERMS OF PAYMENT</t>
  </si>
  <si>
    <t>r</t>
  </si>
  <si>
    <t>OPTION 1 - CASH PAYMENT</t>
  </si>
  <si>
    <t>Less: Spot Cash Discount</t>
  </si>
  <si>
    <t>Discounted List Price</t>
  </si>
  <si>
    <t>Add: VAT (if applicable)</t>
  </si>
  <si>
    <t>DISCOUNTED SELLING PRICE</t>
  </si>
  <si>
    <t>Titling and Miscellaneous Fees</t>
  </si>
  <si>
    <t>TOTAL DISCOUNTED CONTRACT PRICE (TCP) (a)</t>
  </si>
  <si>
    <t>Less: Retention Payable upon Turnover</t>
  </si>
  <si>
    <t>Less: Reservation Fee</t>
  </si>
  <si>
    <t>NET PAYABLE</t>
  </si>
  <si>
    <t>Less: Discount on Spot Downpayment</t>
  </si>
  <si>
    <t>TOTAL CONTRACT PRICE (TCP) (a)</t>
  </si>
  <si>
    <t>Net Spot Down Payment</t>
  </si>
  <si>
    <t>Payable  30 days from Reservation Date</t>
  </si>
  <si>
    <t>In-House Financing</t>
  </si>
  <si>
    <t>Option 3 and 4 next page</t>
  </si>
  <si>
    <t>_______________________________________________________________________________________________________________________________________________</t>
  </si>
  <si>
    <t>Notes:</t>
  </si>
  <si>
    <t>a. TCP includes all applicable Taxes and Miscellaneous Fees</t>
  </si>
  <si>
    <t xml:space="preserve">b. Rates used for computation of Bank Financing Amortization are indicative rates only, </t>
  </si>
  <si>
    <t>subject to bank's prevailing rate at the time of loan.</t>
  </si>
  <si>
    <t>c. Prices are subject to change without prior notice.  Unit areas may change based on the final construction drawings</t>
  </si>
  <si>
    <t>BUYER’S SIGNATURE/S ABOVE PRINTED NAME/S</t>
  </si>
  <si>
    <t>PROPERTY CONSULTANT’S SIGNATURE ABOVE PRINTED NAME</t>
  </si>
  <si>
    <t>DATE SIGNED</t>
  </si>
  <si>
    <t>SALES DIVISION/SALES CHANNEL</t>
  </si>
  <si>
    <t>Page 1 of 2</t>
  </si>
  <si>
    <t>OPTION 3 - 20% DP, 80% BANK FINANCING</t>
  </si>
  <si>
    <t>OPTION 4 - EQUAL MONTHLY INSTALLMENT</t>
  </si>
  <si>
    <t>Less: Discount</t>
  </si>
  <si>
    <t>Less: Discount on Downpayment</t>
  </si>
  <si>
    <t>Net Down Payment</t>
  </si>
  <si>
    <t>Payable in</t>
  </si>
  <si>
    <t>Page 2 of 2</t>
  </si>
  <si>
    <t>In House Financing - Loan Schedule</t>
  </si>
  <si>
    <t>Option 2</t>
  </si>
  <si>
    <t>Option 3</t>
  </si>
  <si>
    <t>Payment Term</t>
  </si>
  <si>
    <t>Original Principal</t>
  </si>
  <si>
    <t>Loan Term</t>
  </si>
  <si>
    <t>Annual Interest Rate</t>
  </si>
  <si>
    <t>Payment per Year</t>
  </si>
  <si>
    <t>Payment</t>
  </si>
  <si>
    <t>Month</t>
  </si>
  <si>
    <t>Interest</t>
  </si>
  <si>
    <t>Principal</t>
  </si>
  <si>
    <t>Balance</t>
  </si>
  <si>
    <t>Retained</t>
  </si>
  <si>
    <t xml:space="preserve">         29.16 </t>
  </si>
  <si>
    <t xml:space="preserve">OCCUPIED </t>
  </si>
  <si>
    <t xml:space="preserve">         28.68 </t>
  </si>
  <si>
    <t>2-Bedroom</t>
  </si>
  <si>
    <t xml:space="preserve">         50.20 </t>
  </si>
  <si>
    <t>Service Unit</t>
  </si>
  <si>
    <t xml:space="preserve">         50.20 </t>
  </si>
  <si>
    <t>VACANT for renovation</t>
  </si>
  <si>
    <t>VACANT renovated</t>
  </si>
  <si>
    <t>P115</t>
  </si>
  <si>
    <t>P214</t>
  </si>
  <si>
    <t>P318</t>
  </si>
  <si>
    <t>Per JCR - Hold</t>
  </si>
  <si>
    <t>with status sold (pending)</t>
  </si>
  <si>
    <t>Status</t>
  </si>
  <si>
    <t>Sold</t>
  </si>
  <si>
    <t>Remarks</t>
  </si>
  <si>
    <t>For Re-open</t>
  </si>
  <si>
    <t>Row Labels</t>
  </si>
  <si>
    <t>Grand Total</t>
  </si>
  <si>
    <t>Average of Price/sqm</t>
  </si>
  <si>
    <t>Price/sqm (ave) TLP without VAT</t>
  </si>
  <si>
    <t>Effective September 2, 2019</t>
  </si>
  <si>
    <t>EVB</t>
  </si>
  <si>
    <t>Increase</t>
  </si>
  <si>
    <t>Price/sqm (current)</t>
  </si>
  <si>
    <t>Price/sqm (previous)</t>
  </si>
  <si>
    <t>Count of Price/sqm (previous)</t>
  </si>
  <si>
    <t>Min of Total List Price (TLP)</t>
  </si>
  <si>
    <t>Max of Total List Price (TLP)2</t>
  </si>
  <si>
    <t>No. of Units</t>
  </si>
  <si>
    <t>Area (in sqm)</t>
  </si>
  <si>
    <t>List Price (Php)</t>
  </si>
  <si>
    <t xml:space="preserve">Min   </t>
  </si>
  <si>
    <t xml:space="preserve">Max   </t>
  </si>
  <si>
    <t>Min of Area (sqm)</t>
  </si>
  <si>
    <t>Max of Area (sqm)</t>
  </si>
  <si>
    <t>Total</t>
  </si>
  <si>
    <t>Cash Payment</t>
  </si>
  <si>
    <t>Reservation Date</t>
  </si>
  <si>
    <t>Monthly Period</t>
  </si>
  <si>
    <t>100% Spread</t>
  </si>
  <si>
    <t>20% Spot - 80% Balance</t>
  </si>
  <si>
    <t>OPTION 2 - 20% SPOT DP, 80% BANK FINANCING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</si>
</sst>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(* #,##0.00_);_(* \(#,##0.00\);_(* &quot;-&quot;??_);_(@_)"/>
    <numFmt numFmtId="164" formatCode="[$-3409]mmmm\ dd\,\ yyyy;@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&quot;Titling &amp; Miscellaneous Fee &quot;0.0%"/>
    <numFmt numFmtId="169" formatCode="0%\ &quot;Down Payment&quot;"/>
    <numFmt numFmtId="170" formatCode="0%\ &quot;Bank Financing (b)&quot;"/>
    <numFmt numFmtId="171" formatCode="&quot;Monthly for &quot;0&quot; years&quot;"/>
    <numFmt numFmtId="172" formatCode="&quot;@ &quot;0.0%&quot; p.a.&quot;"/>
    <numFmt numFmtId="173" formatCode="0%\ &quot;Bank Financing&quot;"/>
    <numFmt numFmtId="174" formatCode="&quot;Monthly for &quot;0&quot;-year term&quot;"/>
    <numFmt numFmtId="175" formatCode="0&quot; months&quot;"/>
    <numFmt numFmtId="176" formatCode="0\ &quot;months&quot;"/>
    <numFmt numFmtId="177" formatCode="&quot;Php&quot;#,##0_);[Red]\(&quot;Php&quot;#,##0\)"/>
    <numFmt numFmtId="179" formatCode="0\ &quot;Days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mbria"/>
      <family val="1"/>
    </font>
    <font>
      <b/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name val="Cambria"/>
      <family val="1"/>
    </font>
    <font>
      <b/>
      <sz val="10"/>
      <color theme="1"/>
      <name val="Cambria"/>
      <family val="1"/>
    </font>
    <font>
      <sz val="12"/>
      <color theme="1"/>
      <name val="Cambria"/>
      <family val="1"/>
    </font>
    <font>
      <b/>
      <sz val="12"/>
      <color theme="1"/>
      <name val="Cambria"/>
      <family val="1"/>
    </font>
    <font>
      <sz val="14"/>
      <color theme="1"/>
      <name val="Cambria"/>
      <family val="1"/>
    </font>
    <font>
      <sz val="14"/>
      <name val="Cambria"/>
      <family val="1"/>
    </font>
    <font>
      <b/>
      <sz val="12"/>
      <color theme="1" tint="4.9989318521683403E-2"/>
      <name val="Cambria"/>
      <family val="1"/>
    </font>
    <font>
      <sz val="12"/>
      <color theme="1" tint="4.9989318521683403E-2"/>
      <name val="Cambria"/>
      <family val="1"/>
    </font>
    <font>
      <sz val="16"/>
      <color theme="1"/>
      <name val="Wingdings"/>
      <charset val="2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b/>
      <u/>
      <sz val="11"/>
      <color theme="1"/>
      <name val="Cambria"/>
      <family val="1"/>
    </font>
    <font>
      <sz val="11"/>
      <color theme="1" tint="4.9989318521683403E-2"/>
      <name val="Cambria"/>
      <family val="1"/>
    </font>
    <font>
      <b/>
      <sz val="11"/>
      <color theme="1" tint="4.9989318521683403E-2"/>
      <name val="Cambria"/>
      <family val="1"/>
    </font>
    <font>
      <sz val="11"/>
      <color theme="0"/>
      <name val="Cambria"/>
      <family val="1"/>
    </font>
    <font>
      <sz val="9"/>
      <name val="Cambria"/>
      <family val="1"/>
    </font>
    <font>
      <sz val="11"/>
      <color theme="0" tint="-4.9989318521683403E-2"/>
      <name val="Cambria"/>
      <family val="1"/>
    </font>
    <font>
      <sz val="9"/>
      <color theme="1"/>
      <name val="Cambria"/>
      <family val="1"/>
    </font>
    <font>
      <sz val="11"/>
      <name val="Cambria"/>
      <family val="1"/>
    </font>
    <font>
      <b/>
      <i/>
      <sz val="11"/>
      <color theme="1" tint="4.9989318521683403E-2"/>
      <name val="Cambria"/>
      <family val="1"/>
    </font>
    <font>
      <i/>
      <sz val="11"/>
      <color theme="1" tint="4.9989318521683403E-2"/>
      <name val="Cambria"/>
      <family val="1"/>
    </font>
    <font>
      <b/>
      <i/>
      <sz val="11"/>
      <color theme="1"/>
      <name val="Cambria"/>
      <family val="1"/>
    </font>
    <font>
      <sz val="10"/>
      <color theme="1" tint="4.9989318521683403E-2"/>
      <name val="Cambria"/>
      <family val="1"/>
    </font>
    <font>
      <b/>
      <u/>
      <sz val="11"/>
      <color theme="1" tint="4.9989318521683403E-2"/>
      <name val="Cambria"/>
      <family val="1"/>
    </font>
    <font>
      <b/>
      <i/>
      <sz val="10"/>
      <color theme="1" tint="4.9989318521683403E-2"/>
      <name val="Cambria"/>
      <family val="1"/>
    </font>
    <font>
      <b/>
      <sz val="10"/>
      <color theme="1" tint="4.9989318521683403E-2"/>
      <name val="Cambria"/>
      <family val="1"/>
    </font>
    <font>
      <sz val="9"/>
      <color theme="1" tint="4.9989318521683403E-2"/>
      <name val="Cambria"/>
      <family val="1"/>
    </font>
    <font>
      <b/>
      <sz val="18"/>
      <color theme="1" tint="4.9989318521683403E-2"/>
      <name val="Cambria"/>
      <family val="1"/>
    </font>
    <font>
      <b/>
      <sz val="18"/>
      <color theme="1"/>
      <name val="Cambria"/>
      <family val="1"/>
    </font>
    <font>
      <sz val="12"/>
      <color rgb="FFFF0000"/>
      <name val="Cambria"/>
      <family val="1"/>
    </font>
    <font>
      <sz val="10"/>
      <color theme="1" tint="0.14999847407452621"/>
      <name val="Cambria"/>
      <family val="1"/>
    </font>
    <font>
      <sz val="10"/>
      <color rgb="FFFF0000"/>
      <name val="Cambria"/>
      <family val="1"/>
    </font>
    <font>
      <b/>
      <sz val="11"/>
      <color theme="1"/>
      <name val="Calibri Light"/>
      <family val="1"/>
      <scheme val="major"/>
    </font>
    <font>
      <b/>
      <sz val="12"/>
      <color theme="1"/>
      <name val="Calibri Light"/>
      <family val="1"/>
      <scheme val="major"/>
    </font>
    <font>
      <sz val="11"/>
      <color theme="1"/>
      <name val="Century Gothic"/>
      <family val="2"/>
    </font>
    <font>
      <sz val="12"/>
      <color theme="1"/>
      <name val="Calibri Light"/>
      <family val="1"/>
      <scheme val="major"/>
    </font>
    <font>
      <b/>
      <sz val="12"/>
      <color theme="2" tint="-9.9978637043366805E-2"/>
      <name val="Calibri Light"/>
      <family val="1"/>
      <scheme val="maj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166" fontId="4" fillId="2" borderId="0" xfId="1" applyNumberFormat="1" applyFont="1" applyFill="1" applyAlignment="1">
      <alignment horizontal="center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>
      <alignment horizontal="center"/>
    </xf>
    <xf numFmtId="43" fontId="4" fillId="0" borderId="1" xfId="1" applyFont="1" applyBorder="1"/>
    <xf numFmtId="166" fontId="4" fillId="0" borderId="1" xfId="1" applyNumberFormat="1" applyFont="1" applyBorder="1"/>
    <xf numFmtId="166" fontId="4" fillId="0" borderId="1" xfId="0" applyNumberFormat="1" applyFont="1" applyBorder="1"/>
    <xf numFmtId="9" fontId="4" fillId="0" borderId="0" xfId="0" applyNumberFormat="1" applyFont="1"/>
    <xf numFmtId="0" fontId="9" fillId="3" borderId="0" xfId="0" applyFont="1" applyFill="1" applyAlignment="1" applyProtection="1">
      <alignment vertical="center"/>
      <protection hidden="1"/>
    </xf>
    <xf numFmtId="0" fontId="10" fillId="3" borderId="0" xfId="0" applyFont="1" applyFill="1" applyAlignment="1" applyProtection="1">
      <alignment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164" fontId="3" fillId="3" borderId="0" xfId="0" applyNumberFormat="1" applyFont="1" applyFill="1" applyBorder="1" applyAlignment="1" applyProtection="1">
      <alignment vertical="center"/>
      <protection hidden="1"/>
    </xf>
    <xf numFmtId="0" fontId="9" fillId="3" borderId="0" xfId="0" applyFont="1" applyFill="1" applyBorder="1" applyAlignment="1" applyProtection="1">
      <alignment horizontal="center" vertical="center"/>
      <protection hidden="1"/>
    </xf>
    <xf numFmtId="0" fontId="9" fillId="3" borderId="0" xfId="0" applyFont="1" applyFill="1" applyBorder="1" applyAlignment="1" applyProtection="1">
      <alignment vertical="center"/>
      <protection hidden="1"/>
    </xf>
    <xf numFmtId="165" fontId="9" fillId="3" borderId="0" xfId="1" applyNumberFormat="1" applyFont="1" applyFill="1" applyAlignment="1" applyProtection="1">
      <alignment vertical="center"/>
      <protection hidden="1"/>
    </xf>
    <xf numFmtId="0" fontId="9" fillId="3" borderId="0" xfId="0" applyFont="1" applyFill="1" applyBorder="1" applyAlignment="1" applyProtection="1">
      <alignment horizontal="center" vertical="center" wrapText="1"/>
      <protection hidden="1"/>
    </xf>
    <xf numFmtId="0" fontId="9" fillId="3" borderId="0" xfId="0" applyFont="1" applyFill="1" applyAlignment="1" applyProtection="1">
      <alignment horizontal="center" vertical="center" wrapText="1"/>
      <protection hidden="1"/>
    </xf>
    <xf numFmtId="0" fontId="9" fillId="3" borderId="0" xfId="0" applyFont="1" applyFill="1"/>
    <xf numFmtId="0" fontId="3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164" fontId="3" fillId="3" borderId="0" xfId="0" quotePrefix="1" applyNumberFormat="1" applyFont="1" applyFill="1" applyBorder="1" applyAlignment="1" applyProtection="1">
      <alignment vertical="center"/>
      <protection hidden="1"/>
    </xf>
    <xf numFmtId="0" fontId="11" fillId="3" borderId="0" xfId="0" applyFont="1" applyFill="1"/>
    <xf numFmtId="0" fontId="12" fillId="3" borderId="0" xfId="0" applyFont="1" applyFill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 applyProtection="1">
      <alignment vertical="center"/>
      <protection hidden="1"/>
    </xf>
    <xf numFmtId="0" fontId="12" fillId="3" borderId="0" xfId="0" applyFont="1" applyFill="1"/>
    <xf numFmtId="0" fontId="8" fillId="3" borderId="0" xfId="1" applyNumberFormat="1" applyFont="1" applyFill="1" applyAlignment="1" applyProtection="1">
      <alignment vertical="center"/>
      <protection hidden="1"/>
    </xf>
    <xf numFmtId="0" fontId="7" fillId="3" borderId="0" xfId="0" applyFont="1" applyFill="1"/>
    <xf numFmtId="0" fontId="7" fillId="3" borderId="0" xfId="1" applyNumberFormat="1" applyFont="1" applyFill="1" applyAlignment="1" applyProtection="1">
      <alignment vertical="center"/>
      <protection hidden="1"/>
    </xf>
    <xf numFmtId="165" fontId="7" fillId="3" borderId="0" xfId="1" applyNumberFormat="1" applyFont="1" applyFill="1" applyAlignment="1" applyProtection="1">
      <alignment vertical="center"/>
      <protection hidden="1"/>
    </xf>
    <xf numFmtId="0" fontId="7" fillId="3" borderId="5" xfId="0" applyFont="1" applyFill="1" applyBorder="1" applyAlignment="1" applyProtection="1">
      <alignment vertical="center"/>
      <protection hidden="1"/>
    </xf>
    <xf numFmtId="0" fontId="7" fillId="3" borderId="3" xfId="0" applyFont="1" applyFill="1" applyBorder="1" applyAlignment="1">
      <alignment horizontal="center"/>
    </xf>
    <xf numFmtId="166" fontId="7" fillId="3" borderId="3" xfId="1" applyNumberFormat="1" applyFont="1" applyFill="1" applyBorder="1"/>
    <xf numFmtId="0" fontId="7" fillId="3" borderId="1" xfId="0" applyFont="1" applyFill="1" applyBorder="1" applyAlignment="1">
      <alignment horizontal="center"/>
    </xf>
    <xf numFmtId="165" fontId="7" fillId="3" borderId="5" xfId="1" applyNumberFormat="1" applyFont="1" applyFill="1" applyBorder="1" applyAlignment="1" applyProtection="1">
      <alignment vertical="center"/>
      <protection hidden="1"/>
    </xf>
    <xf numFmtId="0" fontId="7" fillId="3" borderId="5" xfId="0" applyFont="1" applyFill="1" applyBorder="1"/>
    <xf numFmtId="167" fontId="4" fillId="0" borderId="0" xfId="0" applyNumberFormat="1" applyFont="1" applyAlignment="1">
      <alignment horizontal="center"/>
    </xf>
    <xf numFmtId="0" fontId="13" fillId="3" borderId="0" xfId="0" applyFont="1" applyFill="1" applyBorder="1" applyAlignment="1">
      <alignment horizontal="center" vertical="center"/>
    </xf>
    <xf numFmtId="175" fontId="14" fillId="0" borderId="0" xfId="0" applyNumberFormat="1" applyFont="1" applyBorder="1" applyAlignment="1" applyProtection="1">
      <alignment vertical="center"/>
      <protection hidden="1"/>
    </xf>
    <xf numFmtId="0" fontId="15" fillId="3" borderId="0" xfId="0" applyFont="1" applyFill="1" applyBorder="1"/>
    <xf numFmtId="0" fontId="15" fillId="3" borderId="0" xfId="0" applyFont="1" applyFill="1" applyBorder="1" applyAlignment="1" applyProtection="1">
      <alignment vertical="center"/>
      <protection hidden="1"/>
    </xf>
    <xf numFmtId="17" fontId="14" fillId="5" borderId="0" xfId="0" applyNumberFormat="1" applyFont="1" applyFill="1" applyBorder="1" applyAlignment="1" applyProtection="1">
      <alignment horizontal="center" vertical="center"/>
      <protection hidden="1"/>
    </xf>
    <xf numFmtId="0" fontId="8" fillId="3" borderId="0" xfId="0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horizontal="center" vertical="center"/>
      <protection hidden="1"/>
    </xf>
    <xf numFmtId="43" fontId="6" fillId="3" borderId="0" xfId="1" applyFont="1" applyFill="1" applyAlignment="1" applyProtection="1">
      <alignment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vertical="center"/>
      <protection hidden="1"/>
    </xf>
    <xf numFmtId="165" fontId="14" fillId="3" borderId="0" xfId="1" applyNumberFormat="1" applyFont="1" applyFill="1" applyBorder="1" applyAlignment="1" applyProtection="1">
      <alignment horizontal="center" vertical="center"/>
      <protection hidden="1"/>
    </xf>
    <xf numFmtId="165" fontId="15" fillId="3" borderId="0" xfId="1" applyNumberFormat="1" applyFont="1" applyFill="1" applyBorder="1" applyAlignment="1" applyProtection="1">
      <alignment horizontal="center" vertical="center"/>
      <protection hidden="1"/>
    </xf>
    <xf numFmtId="168" fontId="15" fillId="3" borderId="0" xfId="0" applyNumberFormat="1" applyFont="1" applyFill="1" applyBorder="1" applyAlignment="1" applyProtection="1">
      <alignment horizontal="left" vertical="center"/>
      <protection hidden="1"/>
    </xf>
    <xf numFmtId="165" fontId="15" fillId="3" borderId="5" xfId="1" applyNumberFormat="1" applyFont="1" applyFill="1" applyBorder="1" applyAlignment="1" applyProtection="1">
      <alignment horizontal="center" vertical="center"/>
      <protection hidden="1"/>
    </xf>
    <xf numFmtId="165" fontId="14" fillId="3" borderId="0" xfId="1" applyNumberFormat="1" applyFont="1" applyFill="1" applyBorder="1" applyAlignment="1" applyProtection="1">
      <alignment vertical="center"/>
      <protection hidden="1"/>
    </xf>
    <xf numFmtId="165" fontId="14" fillId="3" borderId="0" xfId="0" applyNumberFormat="1" applyFont="1" applyFill="1" applyBorder="1" applyAlignment="1" applyProtection="1">
      <alignment vertical="center"/>
      <protection hidden="1"/>
    </xf>
    <xf numFmtId="0" fontId="16" fillId="3" borderId="0" xfId="0" applyFont="1" applyFill="1" applyBorder="1" applyAlignment="1" applyProtection="1">
      <alignment vertical="center"/>
      <protection hidden="1"/>
    </xf>
    <xf numFmtId="0" fontId="14" fillId="3" borderId="6" xfId="0" applyFont="1" applyFill="1" applyBorder="1" applyAlignment="1" applyProtection="1">
      <alignment vertical="center"/>
      <protection hidden="1"/>
    </xf>
    <xf numFmtId="165" fontId="14" fillId="3" borderId="6" xfId="0" applyNumberFormat="1" applyFont="1" applyFill="1" applyBorder="1" applyAlignment="1" applyProtection="1">
      <alignment vertical="center"/>
      <protection hidden="1"/>
    </xf>
    <xf numFmtId="0" fontId="15" fillId="3" borderId="6" xfId="0" applyFont="1" applyFill="1" applyBorder="1"/>
    <xf numFmtId="0" fontId="15" fillId="3" borderId="0" xfId="0" applyFont="1" applyFill="1" applyBorder="1" applyAlignment="1">
      <alignment vertical="center"/>
    </xf>
    <xf numFmtId="165" fontId="14" fillId="3" borderId="0" xfId="0" applyNumberFormat="1" applyFont="1" applyFill="1" applyBorder="1"/>
    <xf numFmtId="0" fontId="17" fillId="3" borderId="0" xfId="0" applyFont="1" applyFill="1" applyBorder="1"/>
    <xf numFmtId="165" fontId="18" fillId="3" borderId="0" xfId="0" applyNumberFormat="1" applyFont="1" applyFill="1" applyBorder="1"/>
    <xf numFmtId="9" fontId="15" fillId="3" borderId="0" xfId="0" applyNumberFormat="1" applyFont="1" applyFill="1" applyBorder="1" applyAlignment="1" applyProtection="1">
      <alignment vertical="center"/>
      <protection hidden="1"/>
    </xf>
    <xf numFmtId="165" fontId="14" fillId="3" borderId="5" xfId="1" applyNumberFormat="1" applyFont="1" applyFill="1" applyBorder="1"/>
    <xf numFmtId="0" fontId="17" fillId="3" borderId="0" xfId="0" applyFont="1" applyFill="1" applyBorder="1" applyAlignment="1" applyProtection="1">
      <alignment vertical="center"/>
      <protection hidden="1"/>
    </xf>
    <xf numFmtId="9" fontId="17" fillId="3" borderId="0" xfId="0" applyNumberFormat="1" applyFont="1" applyFill="1" applyBorder="1" applyAlignment="1" applyProtection="1">
      <alignment vertical="center"/>
      <protection hidden="1"/>
    </xf>
    <xf numFmtId="165" fontId="18" fillId="3" borderId="5" xfId="1" applyNumberFormat="1" applyFont="1" applyFill="1" applyBorder="1"/>
    <xf numFmtId="0" fontId="18" fillId="3" borderId="0" xfId="0" applyFont="1" applyFill="1" applyBorder="1" applyAlignment="1" applyProtection="1">
      <alignment vertical="center"/>
      <protection hidden="1"/>
    </xf>
    <xf numFmtId="165" fontId="18" fillId="3" borderId="0" xfId="0" applyNumberFormat="1" applyFont="1" applyFill="1" applyBorder="1" applyAlignment="1" applyProtection="1">
      <alignment vertical="center"/>
      <protection hidden="1"/>
    </xf>
    <xf numFmtId="165" fontId="17" fillId="3" borderId="0" xfId="1" applyNumberFormat="1" applyFont="1" applyFill="1" applyBorder="1" applyAlignment="1" applyProtection="1">
      <alignment horizontal="center" vertical="center"/>
      <protection hidden="1"/>
    </xf>
    <xf numFmtId="9" fontId="19" fillId="3" borderId="0" xfId="0" applyNumberFormat="1" applyFont="1" applyFill="1" applyBorder="1" applyAlignment="1" applyProtection="1">
      <alignment vertical="center"/>
      <protection hidden="1"/>
    </xf>
    <xf numFmtId="165" fontId="15" fillId="3" borderId="5" xfId="1" applyNumberFormat="1" applyFont="1" applyFill="1" applyBorder="1" applyAlignment="1" applyProtection="1">
      <alignment vertical="center"/>
      <protection hidden="1"/>
    </xf>
    <xf numFmtId="169" fontId="15" fillId="3" borderId="0" xfId="0" applyNumberFormat="1" applyFont="1" applyFill="1" applyBorder="1" applyAlignment="1">
      <alignment horizontal="left"/>
    </xf>
    <xf numFmtId="165" fontId="15" fillId="3" borderId="0" xfId="0" applyNumberFormat="1" applyFont="1" applyFill="1" applyBorder="1"/>
    <xf numFmtId="165" fontId="15" fillId="3" borderId="5" xfId="0" applyNumberFormat="1" applyFont="1" applyFill="1" applyBorder="1"/>
    <xf numFmtId="165" fontId="17" fillId="3" borderId="5" xfId="1" applyNumberFormat="1" applyFont="1" applyFill="1" applyBorder="1" applyAlignment="1" applyProtection="1">
      <alignment vertical="center"/>
      <protection hidden="1"/>
    </xf>
    <xf numFmtId="0" fontId="14" fillId="3" borderId="0" xfId="0" applyFont="1" applyFill="1" applyBorder="1"/>
    <xf numFmtId="0" fontId="18" fillId="3" borderId="0" xfId="0" applyFont="1" applyFill="1" applyBorder="1"/>
    <xf numFmtId="166" fontId="14" fillId="4" borderId="0" xfId="0" applyNumberFormat="1" applyFont="1" applyFill="1" applyBorder="1"/>
    <xf numFmtId="176" fontId="18" fillId="3" borderId="0" xfId="0" applyNumberFormat="1" applyFont="1" applyFill="1" applyBorder="1"/>
    <xf numFmtId="166" fontId="18" fillId="4" borderId="0" xfId="0" applyNumberFormat="1" applyFont="1" applyFill="1" applyBorder="1"/>
    <xf numFmtId="170" fontId="14" fillId="3" borderId="0" xfId="0" applyNumberFormat="1" applyFont="1" applyFill="1" applyBorder="1" applyAlignment="1">
      <alignment horizontal="left"/>
    </xf>
    <xf numFmtId="166" fontId="14" fillId="3" borderId="0" xfId="0" applyNumberFormat="1" applyFont="1" applyFill="1" applyBorder="1"/>
    <xf numFmtId="171" fontId="15" fillId="3" borderId="0" xfId="0" applyNumberFormat="1" applyFont="1" applyFill="1" applyBorder="1" applyAlignment="1" applyProtection="1">
      <alignment horizontal="left" vertical="center"/>
      <protection hidden="1"/>
    </xf>
    <xf numFmtId="172" fontId="20" fillId="3" borderId="0" xfId="0" applyNumberFormat="1" applyFont="1" applyFill="1" applyBorder="1" applyAlignment="1" applyProtection="1">
      <alignment horizontal="center" vertical="center"/>
      <protection hidden="1"/>
    </xf>
    <xf numFmtId="165" fontId="15" fillId="3" borderId="0" xfId="1" applyNumberFormat="1" applyFont="1" applyFill="1" applyBorder="1" applyAlignment="1" applyProtection="1">
      <alignment vertical="center"/>
      <protection hidden="1"/>
    </xf>
    <xf numFmtId="172" fontId="21" fillId="3" borderId="0" xfId="0" applyNumberFormat="1" applyFont="1" applyFill="1" applyBorder="1" applyAlignment="1" applyProtection="1">
      <alignment horizontal="left" vertical="center"/>
      <protection hidden="1"/>
    </xf>
    <xf numFmtId="172" fontId="15" fillId="3" borderId="0" xfId="0" applyNumberFormat="1" applyFont="1" applyFill="1" applyBorder="1" applyAlignment="1" applyProtection="1">
      <alignment horizontal="left" vertical="center"/>
      <protection hidden="1"/>
    </xf>
    <xf numFmtId="0" fontId="22" fillId="3" borderId="0" xfId="0" applyFont="1" applyFill="1" applyBorder="1" applyAlignment="1">
      <alignment horizontal="center"/>
    </xf>
    <xf numFmtId="165" fontId="15" fillId="3" borderId="0" xfId="1" applyNumberFormat="1" applyFont="1" applyFill="1" applyBorder="1"/>
    <xf numFmtId="173" fontId="14" fillId="3" borderId="0" xfId="0" applyNumberFormat="1" applyFont="1" applyFill="1" applyBorder="1" applyAlignment="1">
      <alignment horizontal="left"/>
    </xf>
    <xf numFmtId="174" fontId="23" fillId="3" borderId="0" xfId="0" applyNumberFormat="1" applyFont="1" applyFill="1" applyBorder="1" applyAlignment="1" applyProtection="1">
      <alignment horizontal="left" vertical="center"/>
      <protection hidden="1"/>
    </xf>
    <xf numFmtId="172" fontId="22" fillId="3" borderId="0" xfId="0" applyNumberFormat="1" applyFont="1" applyFill="1" applyBorder="1" applyAlignment="1" applyProtection="1">
      <alignment horizontal="center" vertical="center"/>
      <protection hidden="1"/>
    </xf>
    <xf numFmtId="0" fontId="15" fillId="3" borderId="5" xfId="0" applyFont="1" applyFill="1" applyBorder="1"/>
    <xf numFmtId="0" fontId="15" fillId="3" borderId="0" xfId="0" applyFont="1" applyFill="1" applyBorder="1" applyAlignment="1">
      <alignment horizontal="left" indent="1"/>
    </xf>
    <xf numFmtId="0" fontId="17" fillId="3" borderId="5" xfId="0" applyFont="1" applyFill="1" applyBorder="1"/>
    <xf numFmtId="0" fontId="4" fillId="3" borderId="0" xfId="0" applyFont="1" applyFill="1" applyBorder="1"/>
    <xf numFmtId="0" fontId="24" fillId="3" borderId="0" xfId="0" applyFont="1" applyFill="1" applyBorder="1" applyAlignment="1"/>
    <xf numFmtId="0" fontId="18" fillId="0" borderId="0" xfId="0" applyFont="1"/>
    <xf numFmtId="0" fontId="25" fillId="3" borderId="0" xfId="0" applyFont="1" applyFill="1" applyBorder="1" applyAlignment="1"/>
    <xf numFmtId="0" fontId="26" fillId="3" borderId="0" xfId="0" applyFont="1" applyFill="1" applyBorder="1"/>
    <xf numFmtId="0" fontId="27" fillId="3" borderId="0" xfId="0" applyFont="1" applyFill="1" applyBorder="1"/>
    <xf numFmtId="17" fontId="18" fillId="5" borderId="0" xfId="0" applyNumberFormat="1" applyFont="1" applyFill="1" applyBorder="1" applyAlignment="1" applyProtection="1">
      <alignment horizontal="center"/>
      <protection locked="0" hidden="1"/>
    </xf>
    <xf numFmtId="0" fontId="11" fillId="3" borderId="0" xfId="0" applyFont="1" applyFill="1" applyBorder="1" applyAlignment="1" applyProtection="1">
      <alignment horizontal="center" vertical="center"/>
      <protection hidden="1"/>
    </xf>
    <xf numFmtId="0" fontId="18" fillId="5" borderId="0" xfId="1" applyNumberFormat="1" applyFont="1" applyFill="1" applyBorder="1" applyAlignment="1" applyProtection="1">
      <alignment horizontal="center"/>
      <protection locked="0" hidden="1"/>
    </xf>
    <xf numFmtId="0" fontId="18" fillId="3" borderId="0" xfId="0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43" fontId="3" fillId="0" borderId="0" xfId="1" applyFont="1" applyAlignment="1" applyProtection="1">
      <alignment vertical="center"/>
      <protection hidden="1"/>
    </xf>
    <xf numFmtId="165" fontId="17" fillId="3" borderId="5" xfId="1" applyNumberFormat="1" applyFont="1" applyFill="1" applyBorder="1" applyAlignment="1" applyProtection="1">
      <alignment horizontal="center" vertical="center"/>
      <protection hidden="1"/>
    </xf>
    <xf numFmtId="165" fontId="18" fillId="3" borderId="0" xfId="1" applyNumberFormat="1" applyFont="1" applyFill="1" applyBorder="1" applyAlignment="1" applyProtection="1">
      <alignment vertical="center"/>
      <protection hidden="1"/>
    </xf>
    <xf numFmtId="0" fontId="28" fillId="3" borderId="0" xfId="0" applyFont="1" applyFill="1" applyBorder="1" applyAlignment="1" applyProtection="1">
      <alignment vertical="center"/>
      <protection hidden="1"/>
    </xf>
    <xf numFmtId="0" fontId="18" fillId="3" borderId="6" xfId="0" applyFont="1" applyFill="1" applyBorder="1" applyAlignment="1" applyProtection="1">
      <alignment vertical="center"/>
      <protection hidden="1"/>
    </xf>
    <xf numFmtId="165" fontId="18" fillId="3" borderId="6" xfId="0" applyNumberFormat="1" applyFont="1" applyFill="1" applyBorder="1" applyAlignment="1" applyProtection="1">
      <alignment vertical="center"/>
      <protection hidden="1"/>
    </xf>
    <xf numFmtId="0" fontId="17" fillId="3" borderId="6" xfId="0" applyFont="1" applyFill="1" applyBorder="1"/>
    <xf numFmtId="0" fontId="17" fillId="3" borderId="0" xfId="0" applyFont="1" applyFill="1" applyBorder="1" applyAlignment="1">
      <alignment vertical="center"/>
    </xf>
    <xf numFmtId="0" fontId="27" fillId="3" borderId="0" xfId="0" applyFont="1" applyFill="1" applyBorder="1" applyAlignment="1">
      <alignment vertical="center"/>
    </xf>
    <xf numFmtId="165" fontId="17" fillId="3" borderId="0" xfId="0" applyNumberFormat="1" applyFont="1" applyFill="1" applyBorder="1" applyAlignment="1" applyProtection="1">
      <alignment vertical="center"/>
      <protection hidden="1"/>
    </xf>
    <xf numFmtId="168" fontId="17" fillId="3" borderId="0" xfId="0" applyNumberFormat="1" applyFont="1" applyFill="1" applyBorder="1" applyAlignment="1" applyProtection="1">
      <alignment horizontal="left" vertical="center"/>
      <protection hidden="1"/>
    </xf>
    <xf numFmtId="168" fontId="17" fillId="3" borderId="0" xfId="0" applyNumberFormat="1" applyFont="1" applyFill="1" applyBorder="1" applyAlignment="1" applyProtection="1">
      <alignment vertical="center"/>
      <protection hidden="1"/>
    </xf>
    <xf numFmtId="165" fontId="17" fillId="3" borderId="0" xfId="1" applyNumberFormat="1" applyFont="1" applyFill="1" applyBorder="1" applyAlignment="1" applyProtection="1">
      <alignment vertical="center"/>
      <protection hidden="1"/>
    </xf>
    <xf numFmtId="166" fontId="15" fillId="3" borderId="0" xfId="0" applyNumberFormat="1" applyFont="1" applyFill="1" applyBorder="1"/>
    <xf numFmtId="0" fontId="29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left" indent="1"/>
    </xf>
    <xf numFmtId="0" fontId="30" fillId="3" borderId="0" xfId="0" applyFont="1" applyFill="1" applyBorder="1"/>
    <xf numFmtId="0" fontId="18" fillId="0" borderId="0" xfId="0" applyFont="1" applyAlignment="1">
      <alignment horizontal="left"/>
    </xf>
    <xf numFmtId="0" fontId="29" fillId="3" borderId="0" xfId="0" applyFont="1" applyFill="1" applyBorder="1" applyAlignment="1">
      <alignment horizontal="right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165" fontId="15" fillId="0" borderId="0" xfId="1" applyNumberFormat="1" applyFont="1" applyProtection="1">
      <protection hidden="1"/>
    </xf>
    <xf numFmtId="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165" fontId="15" fillId="0" borderId="0" xfId="0" applyNumberFormat="1" applyFont="1" applyProtection="1">
      <protection hidden="1"/>
    </xf>
    <xf numFmtId="166" fontId="17" fillId="3" borderId="0" xfId="1" applyNumberFormat="1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/>
    <xf numFmtId="0" fontId="7" fillId="2" borderId="1" xfId="0" applyFont="1" applyFill="1" applyBorder="1" applyAlignment="1">
      <alignment horizontal="center"/>
    </xf>
    <xf numFmtId="0" fontId="15" fillId="3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vertical="center" wrapText="1"/>
    </xf>
    <xf numFmtId="0" fontId="34" fillId="3" borderId="0" xfId="0" applyFont="1" applyFill="1"/>
    <xf numFmtId="0" fontId="8" fillId="3" borderId="0" xfId="0" applyFont="1" applyFill="1"/>
    <xf numFmtId="43" fontId="7" fillId="3" borderId="1" xfId="1" applyFont="1" applyFill="1" applyBorder="1" applyAlignment="1">
      <alignment vertical="center"/>
    </xf>
    <xf numFmtId="43" fontId="34" fillId="3" borderId="1" xfId="1" applyFont="1" applyFill="1" applyBorder="1" applyAlignment="1">
      <alignment vertical="center"/>
    </xf>
    <xf numFmtId="0" fontId="34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 wrapText="1"/>
    </xf>
    <xf numFmtId="43" fontId="34" fillId="6" borderId="1" xfId="1" applyFont="1" applyFill="1" applyBorder="1" applyAlignment="1">
      <alignment vertical="center"/>
    </xf>
    <xf numFmtId="0" fontId="34" fillId="6" borderId="1" xfId="0" applyFont="1" applyFill="1" applyBorder="1" applyAlignment="1">
      <alignment vertical="center" wrapText="1"/>
    </xf>
    <xf numFmtId="43" fontId="7" fillId="3" borderId="1" xfId="1" applyFont="1" applyFill="1" applyBorder="1" applyAlignment="1">
      <alignment horizontal="center" vertical="center"/>
    </xf>
    <xf numFmtId="0" fontId="4" fillId="3" borderId="0" xfId="0" applyFont="1" applyFill="1"/>
    <xf numFmtId="0" fontId="6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43" fontId="35" fillId="3" borderId="1" xfId="1" applyFont="1" applyFill="1" applyBorder="1" applyAlignment="1">
      <alignment vertical="center"/>
    </xf>
    <xf numFmtId="0" fontId="36" fillId="3" borderId="0" xfId="0" applyFont="1" applyFill="1"/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35" fillId="3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wrapText="1"/>
    </xf>
    <xf numFmtId="0" fontId="15" fillId="0" borderId="1" xfId="0" applyFont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166" fontId="7" fillId="3" borderId="0" xfId="0" applyNumberFormat="1" applyFont="1" applyFill="1"/>
    <xf numFmtId="166" fontId="4" fillId="0" borderId="0" xfId="0" applyNumberFormat="1" applyFont="1"/>
    <xf numFmtId="166" fontId="7" fillId="3" borderId="0" xfId="1" applyNumberFormat="1" applyFont="1" applyFill="1"/>
    <xf numFmtId="177" fontId="14" fillId="6" borderId="0" xfId="0" applyNumberFormat="1" applyFont="1" applyFill="1" applyProtection="1">
      <protection hidden="1"/>
    </xf>
    <xf numFmtId="165" fontId="15" fillId="0" borderId="0" xfId="1" applyNumberFormat="1" applyFont="1" applyBorder="1" applyProtection="1">
      <protection hidden="1"/>
    </xf>
    <xf numFmtId="0" fontId="14" fillId="6" borderId="0" xfId="0" applyFont="1" applyFill="1" applyBorder="1" applyAlignment="1" applyProtection="1">
      <alignment horizontal="center"/>
      <protection locked="0" hidden="1"/>
    </xf>
    <xf numFmtId="17" fontId="4" fillId="0" borderId="0" xfId="0" applyNumberFormat="1" applyFont="1"/>
    <xf numFmtId="166" fontId="17" fillId="3" borderId="0" xfId="0" applyNumberFormat="1" applyFont="1" applyFill="1" applyBorder="1"/>
    <xf numFmtId="43" fontId="7" fillId="3" borderId="3" xfId="1" applyFont="1" applyFill="1" applyBorder="1" applyAlignment="1">
      <alignment horizontal="center"/>
    </xf>
    <xf numFmtId="43" fontId="7" fillId="3" borderId="1" xfId="1" applyFont="1" applyFill="1" applyBorder="1" applyAlignment="1">
      <alignment horizontal="center"/>
    </xf>
    <xf numFmtId="43" fontId="7" fillId="2" borderId="1" xfId="1" applyFont="1" applyFill="1" applyBorder="1" applyAlignment="1">
      <alignment horizontal="center"/>
    </xf>
    <xf numFmtId="166" fontId="7" fillId="3" borderId="3" xfId="1" applyNumberFormat="1" applyFont="1" applyFill="1" applyBorder="1" applyAlignment="1">
      <alignment horizontal="center"/>
    </xf>
    <xf numFmtId="166" fontId="7" fillId="3" borderId="1" xfId="1" applyNumberFormat="1" applyFont="1" applyFill="1" applyBorder="1" applyAlignment="1">
      <alignment horizontal="center"/>
    </xf>
    <xf numFmtId="166" fontId="7" fillId="2" borderId="1" xfId="1" applyNumberFormat="1" applyFont="1" applyFill="1" applyBorder="1" applyAlignment="1">
      <alignment horizontal="center"/>
    </xf>
    <xf numFmtId="0" fontId="33" fillId="3" borderId="0" xfId="0" applyFont="1" applyFill="1" applyAlignment="1" applyProtection="1">
      <alignment vertical="center"/>
      <protection hidden="1"/>
    </xf>
    <xf numFmtId="0" fontId="0" fillId="3" borderId="0" xfId="0" applyFill="1"/>
    <xf numFmtId="166" fontId="4" fillId="0" borderId="1" xfId="1" applyNumberFormat="1" applyFont="1" applyBorder="1" applyAlignment="1">
      <alignment horizontal="center"/>
    </xf>
    <xf numFmtId="0" fontId="0" fillId="0" borderId="0" xfId="0" applyNumberFormat="1"/>
    <xf numFmtId="43" fontId="0" fillId="0" borderId="0" xfId="0" applyNumberFormat="1"/>
    <xf numFmtId="0" fontId="37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/>
    </xf>
    <xf numFmtId="0" fontId="15" fillId="3" borderId="1" xfId="0" applyNumberFormat="1" applyFont="1" applyFill="1" applyBorder="1"/>
    <xf numFmtId="43" fontId="15" fillId="3" borderId="1" xfId="0" applyNumberFormat="1" applyFont="1" applyFill="1" applyBorder="1"/>
    <xf numFmtId="166" fontId="15" fillId="3" borderId="1" xfId="0" applyNumberFormat="1" applyFont="1" applyFill="1" applyBorder="1"/>
    <xf numFmtId="2" fontId="15" fillId="3" borderId="1" xfId="0" applyNumberFormat="1" applyFont="1" applyFill="1" applyBorder="1"/>
    <xf numFmtId="0" fontId="14" fillId="3" borderId="0" xfId="0" applyFont="1" applyFill="1"/>
    <xf numFmtId="166" fontId="4" fillId="0" borderId="0" xfId="1" applyNumberFormat="1" applyFont="1"/>
    <xf numFmtId="0" fontId="11" fillId="4" borderId="0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7" fontId="39" fillId="0" borderId="1" xfId="0" applyNumberFormat="1" applyFont="1" applyBorder="1" applyAlignment="1" applyProtection="1">
      <alignment vertical="center"/>
      <protection hidden="1"/>
    </xf>
    <xf numFmtId="0" fontId="39" fillId="0" borderId="1" xfId="0" applyFont="1" applyBorder="1" applyAlignment="1" applyProtection="1">
      <alignment vertical="center"/>
      <protection hidden="1"/>
    </xf>
    <xf numFmtId="10" fontId="0" fillId="0" borderId="1" xfId="2" applyNumberFormat="1" applyFont="1" applyBorder="1"/>
    <xf numFmtId="10" fontId="0" fillId="0" borderId="0" xfId="0" applyNumberFormat="1"/>
    <xf numFmtId="10" fontId="0" fillId="0" borderId="1" xfId="0" applyNumberFormat="1" applyBorder="1"/>
    <xf numFmtId="17" fontId="39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167" fontId="40" fillId="3" borderId="0" xfId="0" applyNumberFormat="1" applyFont="1" applyFill="1" applyAlignment="1" applyProtection="1">
      <alignment vertical="center"/>
      <protection hidden="1"/>
    </xf>
    <xf numFmtId="0" fontId="41" fillId="4" borderId="0" xfId="0" applyFont="1" applyFill="1" applyBorder="1" applyAlignment="1">
      <alignment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7" fillId="3" borderId="4" xfId="0" applyFont="1" applyFill="1" applyBorder="1" applyAlignment="1" applyProtection="1">
      <alignment horizontal="center" vertical="center"/>
      <protection hidden="1"/>
    </xf>
    <xf numFmtId="165" fontId="7" fillId="3" borderId="4" xfId="1" applyNumberFormat="1" applyFont="1" applyFill="1" applyBorder="1" applyAlignment="1" applyProtection="1">
      <alignment horizontal="center" vertical="center"/>
      <protection hidden="1"/>
    </xf>
    <xf numFmtId="0" fontId="32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/>
    </xf>
    <xf numFmtId="0" fontId="33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167" fontId="15" fillId="3" borderId="0" xfId="0" applyNumberFormat="1" applyFont="1" applyFill="1" applyBorder="1" applyAlignment="1" applyProtection="1">
      <alignment vertical="center"/>
      <protection hidden="1"/>
    </xf>
    <xf numFmtId="166" fontId="15" fillId="3" borderId="5" xfId="1" applyNumberFormat="1" applyFont="1" applyFill="1" applyBorder="1" applyAlignment="1" applyProtection="1">
      <alignment vertical="center"/>
      <protection hidden="1"/>
    </xf>
    <xf numFmtId="179" fontId="37" fillId="6" borderId="0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0" applyNumberFormat="1" applyFont="1" applyFill="1" applyBorder="1" applyAlignment="1" applyProtection="1">
      <alignment vertical="center"/>
      <protection hidden="1"/>
    </xf>
  </cellXfs>
  <cellStyles count="3">
    <cellStyle name="Comma" xfId="1" builtinId="3"/>
    <cellStyle name="Normal" xfId="0" builtinId="0"/>
    <cellStyle name="Percent" xfId="2" builtinId="5"/>
  </cellStyles>
  <dxfs count="4">
    <dxf>
      <numFmt numFmtId="166" formatCode="_(* #,##0_);_(* \(#,##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849111</xdr:colOff>
      <xdr:row>0</xdr:row>
      <xdr:rowOff>10886</xdr:rowOff>
    </xdr:from>
    <xdr:to>
      <xdr:col>9</xdr:col>
      <xdr:colOff>77127</xdr:colOff>
      <xdr:row>4</xdr:row>
      <xdr:rowOff>108858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2" t="8176" r="85071" b="77862"/>
        <a:stretch/>
      </xdr:blipFill>
      <xdr:spPr>
        <a:xfrm>
          <a:off x="5334025" y="10886"/>
          <a:ext cx="1840588" cy="11212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531421</xdr:colOff>
      <xdr:row>2</xdr:row>
      <xdr:rowOff>48089</xdr:rowOff>
    </xdr:from>
    <xdr:to>
      <xdr:col>8</xdr:col>
      <xdr:colOff>985729</xdr:colOff>
      <xdr:row>9</xdr:row>
      <xdr:rowOff>15903</xdr:rowOff>
    </xdr:to>
    <xdr:pic>
      <xdr:nvPicPr>
        <xdr:cNvPr id="2" name="Picture 1" descr="tld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1381" y="383369"/>
          <a:ext cx="1063908" cy="1026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550604</xdr:colOff>
      <xdr:row>2</xdr:row>
      <xdr:rowOff>18270</xdr:rowOff>
    </xdr:from>
    <xdr:to>
      <xdr:col>8</xdr:col>
      <xdr:colOff>776317</xdr:colOff>
      <xdr:row>8</xdr:row>
      <xdr:rowOff>147637</xdr:rowOff>
    </xdr:to>
    <xdr:pic>
      <xdr:nvPicPr>
        <xdr:cNvPr id="2" name="Picture 1" descr="tld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84" y="353550"/>
          <a:ext cx="1002953" cy="1020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rena%20Taguinod/AppData/Local/Microsoft/Windows/INetCache/Content.Outlook/H6WCTCRG/3TORRE-Pricelist-SALES-2019-09-01%20R10%20(USD%20SGD)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rena%20Taguinod/Desktop/Weng's%20File/Torre%20Lorenzo%20Devt.%20Corp/TL%20Malate/Pricelist/July%202018/TL%20Malate-Pricelist-DOCS-2018-07-15%20Release%203%20New%20Co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2019Aug"/>
      <sheetName val="Assumptions"/>
      <sheetName val="Base Pricelist"/>
      <sheetName val="Pricelist"/>
      <sheetName val="Option All"/>
      <sheetName val="3Torre(USD CAD)"/>
      <sheetName val="Sheet6"/>
      <sheetName val="Parking Option All"/>
      <sheetName val="Matrix"/>
      <sheetName val="Sheet2"/>
      <sheetName val="Sheet1"/>
      <sheetName val="pivot"/>
      <sheetName val="Sheet3"/>
      <sheetName val="Sheet4"/>
      <sheetName val="Linked"/>
      <sheetName val="Sample Computation"/>
      <sheetName val="Option 1 and 2"/>
      <sheetName val="Option  3 and 4"/>
      <sheetName val="Request for Special Payment Ter"/>
      <sheetName val="Option - PROMO"/>
      <sheetName val="In House-Computation"/>
      <sheetName val="3Torre(USD SG)"/>
      <sheetName val="Parking Computation"/>
      <sheetName val="Parking Option 1 &amp; 2"/>
      <sheetName val="Parking Option 3 &amp; 4"/>
      <sheetName val="Parking Base price"/>
      <sheetName val="Parking raw"/>
    </sheetNames>
    <sheetDataSet>
      <sheetData sheetId="0" refreshError="1"/>
      <sheetData sheetId="1">
        <row r="30">
          <cell r="W3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se Pricelist"/>
      <sheetName val="Pricelist"/>
      <sheetName val="Sample Computation"/>
      <sheetName val="Option 1 and 2"/>
      <sheetName val="Option 3 and 4 "/>
      <sheetName val="In House-Computation"/>
      <sheetName val="Matrix"/>
      <sheetName val="Sheet2"/>
      <sheetName val="Sheet1"/>
      <sheetName val="Proposed retained units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43252</v>
          </cell>
        </row>
        <row r="26">
          <cell r="B26" t="str">
            <v>Titling and Miscellaneous Fees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lorena Taguinod" refreshedDate="43293.399429050929" createdVersion="5" refreshedVersion="5" minRefreshableVersion="3" recordCount="15">
  <cacheSource type="worksheet">
    <worksheetSource ref="A1:J1048576" sheet="Sheet4"/>
  </cacheSource>
  <cacheFields count="10">
    <cacheField name="Unit No." numFmtId="0">
      <sharedItems containsBlank="1" containsMixedTypes="1" containsNumber="1" containsInteger="1" minValue="615" maxValue="3214"/>
    </cacheField>
    <cacheField name="Type" numFmtId="0">
      <sharedItems containsBlank="1" count="4">
        <s v="Studio"/>
        <s v="2 Bedroom"/>
        <s v="1 Bedroom"/>
        <m/>
      </sharedItems>
    </cacheField>
    <cacheField name="Area (sqm)" numFmtId="0">
      <sharedItems containsString="0" containsBlank="1" containsNumber="1" minValue="23.74" maxValue="50.2"/>
    </cacheField>
    <cacheField name="Base Price" numFmtId="0">
      <sharedItems containsString="0" containsBlank="1" containsNumber="1" containsInteger="1" minValue="185000" maxValue="185000"/>
    </cacheField>
    <cacheField name="Total List Price (TLP)" numFmtId="0">
      <sharedItems containsString="0" containsBlank="1" containsNumber="1" containsInteger="1" minValue="4537600" maxValue="9387400"/>
    </cacheField>
    <cacheField name="Price/sqm" numFmtId="0">
      <sharedItems containsString="0" containsBlank="1" containsNumber="1" minValue="185599.6015936255" maxValue="191137.32097725361"/>
    </cacheField>
    <cacheField name="VAT" numFmtId="0">
      <sharedItems containsString="0" containsBlank="1" containsNumber="1" containsInteger="1" minValue="544512" maxValue="1126488"/>
    </cacheField>
    <cacheField name="Total Selling Price (TSP)" numFmtId="0">
      <sharedItems containsString="0" containsBlank="1" containsNumber="1" containsInteger="1" minValue="5082112" maxValue="10513888"/>
    </cacheField>
    <cacheField name="Miscellaneous Fee  (MF)" numFmtId="0">
      <sharedItems containsString="0" containsBlank="1" containsNumber="1" containsInteger="1" minValue="272256" maxValue="563244"/>
    </cacheField>
    <cacheField name="Total Contract Price (TCP)" numFmtId="0">
      <sharedItems containsString="0" containsBlank="1" containsNumber="1" containsInteger="1" minValue="5354368" maxValue="110771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lorena Taguinod" refreshedDate="43700.350983217591" createdVersion="5" refreshedVersion="5" minRefreshableVersion="3" recordCount="15">
  <cacheSource type="worksheet">
    <worksheetSource ref="A1:M1048576" sheet="Sheet7"/>
  </cacheSource>
  <cacheFields count="13">
    <cacheField name="Unit No." numFmtId="0">
      <sharedItems containsBlank="1" containsMixedTypes="1" containsNumber="1" containsInteger="1" minValue="615" maxValue="3214"/>
    </cacheField>
    <cacheField name="Type" numFmtId="0">
      <sharedItems containsBlank="1" count="4">
        <s v="Studio"/>
        <s v="2 Bedroom"/>
        <s v="1 Bedroom"/>
        <m/>
      </sharedItems>
    </cacheField>
    <cacheField name="Area (sqm)" numFmtId="0">
      <sharedItems containsString="0" containsBlank="1" containsNumber="1" minValue="23.74" maxValue="50.2"/>
    </cacheField>
    <cacheField name="Base Price" numFmtId="0">
      <sharedItems containsString="0" containsBlank="1" containsNumber="1" containsInteger="1" minValue="190550" maxValue="190550"/>
    </cacheField>
    <cacheField name="Incre. per floor" numFmtId="0">
      <sharedItems containsString="0" containsBlank="1" containsNumber="1" containsInteger="1" minValue="100" maxValue="2900"/>
    </cacheField>
    <cacheField name="Premium" numFmtId="0">
      <sharedItems containsString="0" containsBlank="1" containsNumber="1" minValue="0" maxValue="3334.6250000000005"/>
    </cacheField>
    <cacheField name="Price/sqm (previous)" numFmtId="0">
      <sharedItems containsString="0" containsBlank="1" containsNumber="1" minValue="185600" maxValue="191137.5"/>
    </cacheField>
    <cacheField name="Price/sqm (current)" numFmtId="0">
      <sharedItems containsString="0" containsBlank="1" containsNumber="1" minValue="191150" maxValue="196784.625"/>
    </cacheField>
    <cacheField name="Total List Price (TLP)" numFmtId="0">
      <sharedItems containsString="0" containsBlank="1" containsNumber="1" containsInteger="1" minValue="4671700" maxValue="9666000"/>
    </cacheField>
    <cacheField name="VAT" numFmtId="0">
      <sharedItems containsString="0" containsBlank="1" containsNumber="1" containsInteger="1" minValue="560604" maxValue="1159920"/>
    </cacheField>
    <cacheField name="Total Selling Price (TSP)" numFmtId="0">
      <sharedItems containsString="0" containsBlank="1" containsNumber="1" containsInteger="1" minValue="5232304" maxValue="10825920"/>
    </cacheField>
    <cacheField name="Miscellaneous Fee  (MF)" numFmtId="0">
      <sharedItems containsString="0" containsBlank="1" containsNumber="1" containsInteger="1" minValue="280302" maxValue="579960"/>
    </cacheField>
    <cacheField name="Total Contract Price (TCP)" numFmtId="0">
      <sharedItems containsString="0" containsBlank="1" containsNumber="1" containsInteger="1" minValue="5512606" maxValue="11405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">
  <r>
    <n v="615"/>
    <x v="0"/>
    <n v="29.16"/>
    <n v="185000"/>
    <n v="5491900"/>
    <n v="188336.76268861454"/>
    <n v="659028"/>
    <n v="6150928"/>
    <n v="329514"/>
    <n v="6480442"/>
  </r>
  <r>
    <n v="618"/>
    <x v="0"/>
    <n v="31.68"/>
    <n v="185000"/>
    <n v="5966500"/>
    <n v="188336.48989898991"/>
    <n v="715980"/>
    <n v="6682480"/>
    <n v="357990"/>
    <n v="7040470"/>
  </r>
  <r>
    <n v="1106"/>
    <x v="1"/>
    <n v="50.2"/>
    <n v="185000"/>
    <n v="9317100"/>
    <n v="185599.6015936255"/>
    <n v="1118052"/>
    <n v="10435152"/>
    <n v="559026"/>
    <n v="10994178"/>
  </r>
  <r>
    <n v="2103"/>
    <x v="0"/>
    <n v="26.92"/>
    <n v="185000"/>
    <n v="5107700"/>
    <n v="189736.25557206536"/>
    <n v="612924"/>
    <n v="5720624"/>
    <n v="306462"/>
    <n v="6027086"/>
  </r>
  <r>
    <n v="2206"/>
    <x v="1"/>
    <n v="50.2"/>
    <n v="185000"/>
    <n v="9367300"/>
    <n v="186599.6015936255"/>
    <n v="1124076"/>
    <n v="10491376"/>
    <n v="562038"/>
    <n v="11053414"/>
  </r>
  <r>
    <n v="2406"/>
    <x v="1"/>
    <n v="50.2"/>
    <n v="185000"/>
    <n v="9377400"/>
    <n v="186800.796812749"/>
    <n v="1125288"/>
    <n v="10502688"/>
    <n v="562644"/>
    <n v="11065332"/>
  </r>
  <r>
    <n v="2606"/>
    <x v="1"/>
    <n v="50.2"/>
    <n v="185000"/>
    <n v="9387400"/>
    <n v="187000"/>
    <n v="1126488"/>
    <n v="10513888"/>
    <n v="563244"/>
    <n v="11077132"/>
  </r>
  <r>
    <n v="2815"/>
    <x v="2"/>
    <n v="34.049999999999997"/>
    <n v="185000"/>
    <n v="6374200"/>
    <n v="187201.17474302498"/>
    <n v="764904"/>
    <n v="7139104"/>
    <n v="382452"/>
    <n v="7521556"/>
  </r>
  <r>
    <n v="2915"/>
    <x v="2"/>
    <n v="34.049999999999997"/>
    <n v="185000"/>
    <n v="6377600"/>
    <n v="187301.02790014684"/>
    <n v="765312"/>
    <n v="7142912"/>
    <n v="382656"/>
    <n v="7525568"/>
  </r>
  <r>
    <n v="3115"/>
    <x v="2"/>
    <n v="34.049999999999997"/>
    <n v="185000"/>
    <n v="6384400"/>
    <n v="187500.73421439063"/>
    <n v="766128"/>
    <n v="7150528"/>
    <n v="383064"/>
    <n v="7533592"/>
  </r>
  <r>
    <n v="3214"/>
    <x v="2"/>
    <n v="33.46"/>
    <n v="185000"/>
    <n v="6277100"/>
    <n v="187600.11954572622"/>
    <n v="753252"/>
    <n v="7030352"/>
    <n v="376626"/>
    <n v="7406978"/>
  </r>
  <r>
    <s v="P1-15"/>
    <x v="2"/>
    <n v="34.049999999999997"/>
    <n v="185000"/>
    <n v="6391200"/>
    <n v="187700.44052863438"/>
    <n v="766944"/>
    <n v="7158144"/>
    <n v="383472"/>
    <n v="7541616"/>
  </r>
  <r>
    <s v="P2-14"/>
    <x v="2"/>
    <n v="33.46"/>
    <n v="185000"/>
    <n v="6283800"/>
    <n v="187800.35863717872"/>
    <n v="754056"/>
    <n v="7037856"/>
    <n v="377028"/>
    <n v="7414884"/>
  </r>
  <r>
    <s v="P3-18"/>
    <x v="0"/>
    <n v="23.74"/>
    <n v="185000"/>
    <n v="4537600"/>
    <n v="191137.32097725361"/>
    <n v="544512"/>
    <n v="5082112"/>
    <n v="272256"/>
    <n v="5354368"/>
  </r>
  <r>
    <m/>
    <x v="3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">
  <r>
    <n v="615"/>
    <x v="0"/>
    <n v="29.16"/>
    <n v="190550"/>
    <n v="100"/>
    <n v="3334.6250000000005"/>
    <n v="188337.5"/>
    <n v="193984.63"/>
    <n v="5656600"/>
    <n v="678792"/>
    <n v="6335392"/>
    <n v="339396"/>
    <n v="6674788"/>
  </r>
  <r>
    <n v="618"/>
    <x v="0"/>
    <n v="31.68"/>
    <n v="190550"/>
    <n v="100"/>
    <n v="3334.6250000000005"/>
    <n v="188337.5"/>
    <n v="193984.625"/>
    <n v="6145400"/>
    <n v="737448"/>
    <n v="6882848"/>
    <n v="368724"/>
    <n v="7251572"/>
  </r>
  <r>
    <n v="1106"/>
    <x v="1"/>
    <n v="50.2"/>
    <n v="190550"/>
    <n v="600"/>
    <n v="0"/>
    <n v="185600"/>
    <n v="191150"/>
    <n v="9595700"/>
    <n v="1151484"/>
    <n v="10747184"/>
    <n v="575742"/>
    <n v="11322926"/>
  </r>
  <r>
    <n v="2103"/>
    <x v="0"/>
    <n v="26.92"/>
    <n v="190550"/>
    <n v="1500"/>
    <n v="3334.6250000000005"/>
    <n v="189737.5"/>
    <n v="195384.625"/>
    <n v="5259800"/>
    <n v="631176"/>
    <n v="5890976"/>
    <n v="315588"/>
    <n v="6206564"/>
  </r>
  <r>
    <n v="2206"/>
    <x v="1"/>
    <n v="50.2"/>
    <n v="190550"/>
    <n v="1600"/>
    <n v="0"/>
    <n v="186600"/>
    <n v="192150"/>
    <n v="9645900"/>
    <n v="1157508"/>
    <n v="10803408"/>
    <n v="578754"/>
    <n v="11382162"/>
  </r>
  <r>
    <n v="2406"/>
    <x v="1"/>
    <n v="50.2"/>
    <n v="190550"/>
    <n v="1800"/>
    <n v="0"/>
    <n v="186800"/>
    <n v="192350"/>
    <n v="9656000"/>
    <n v="1158720"/>
    <n v="10814720"/>
    <n v="579360"/>
    <n v="11394080"/>
  </r>
  <r>
    <n v="2606"/>
    <x v="1"/>
    <n v="50.2"/>
    <n v="190550"/>
    <n v="2000"/>
    <n v="0"/>
    <n v="187000"/>
    <n v="192550"/>
    <n v="9666000"/>
    <n v="1159920"/>
    <n v="10825920"/>
    <n v="579960"/>
    <n v="11405880"/>
  </r>
  <r>
    <n v="2815"/>
    <x v="2"/>
    <n v="34.049999999999997"/>
    <n v="190550"/>
    <n v="2200"/>
    <n v="0"/>
    <n v="187200"/>
    <n v="192750"/>
    <n v="6563100"/>
    <n v="787572"/>
    <n v="7350672"/>
    <n v="393786"/>
    <n v="7744458"/>
  </r>
  <r>
    <n v="2915"/>
    <x v="2"/>
    <n v="34.049999999999997"/>
    <n v="190550"/>
    <n v="2300"/>
    <n v="0"/>
    <n v="187300"/>
    <n v="192850"/>
    <n v="6566500"/>
    <n v="787980"/>
    <n v="7354480"/>
    <n v="393990"/>
    <n v="7748470"/>
  </r>
  <r>
    <n v="3115"/>
    <x v="2"/>
    <n v="34.049999999999997"/>
    <n v="190550"/>
    <n v="2500"/>
    <n v="0"/>
    <n v="187500"/>
    <n v="193050"/>
    <n v="6573400"/>
    <n v="788808"/>
    <n v="7362208"/>
    <n v="394404"/>
    <n v="7756612"/>
  </r>
  <r>
    <n v="3214"/>
    <x v="2"/>
    <n v="33.46"/>
    <n v="190550"/>
    <n v="2600"/>
    <n v="0"/>
    <n v="187600"/>
    <n v="193150"/>
    <n v="6462800"/>
    <n v="775536"/>
    <n v="7238336"/>
    <n v="387768"/>
    <n v="7626104"/>
  </r>
  <r>
    <s v="P1-15"/>
    <x v="2"/>
    <n v="34.049999999999997"/>
    <n v="190550"/>
    <n v="2700"/>
    <n v="0"/>
    <n v="187700"/>
    <n v="193250"/>
    <n v="6580200"/>
    <n v="789624"/>
    <n v="7369824"/>
    <n v="394812"/>
    <n v="7764636"/>
  </r>
  <r>
    <s v="P2-14"/>
    <x v="2"/>
    <n v="33.46"/>
    <n v="190550"/>
    <n v="2800"/>
    <n v="0"/>
    <n v="187800"/>
    <n v="193350"/>
    <n v="6469500"/>
    <n v="776340"/>
    <n v="7245840"/>
    <n v="388170"/>
    <n v="7634010"/>
  </r>
  <r>
    <s v="P3-18"/>
    <x v="0"/>
    <n v="23.74"/>
    <n v="190550"/>
    <n v="2900"/>
    <n v="3334.6250000000005"/>
    <n v="191137.5"/>
    <n v="196784.625"/>
    <n v="4671700"/>
    <n v="560604"/>
    <n v="5232304"/>
    <n v="280302"/>
    <n v="5512606"/>
  </r>
  <r>
    <m/>
    <x v="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" cacheId="2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F10" firstHeaderRow="0" firstDataRow="1" firstDataCol="1"/>
  <pivotFields count="13">
    <pivotField showAll="0"/>
    <pivotField axis="axisRow" showAll="0">
      <items count="5">
        <item x="0"/>
        <item x="2"/>
        <item x="1"/>
        <item h="1" x="3"/>
        <item t="default"/>
      </items>
    </pivotField>
    <pivotField dataField="1" showAll="0"/>
    <pivotField showAll="0"/>
    <pivotField showAll="0"/>
    <pivotField showAll="0"/>
    <pivotField dataField="1" showAll="0" defaultSubtotal="0"/>
    <pivotField showAll="0" defaultSubtotal="0"/>
    <pivotField dataField="1"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Count of Price/sqm (previous)" fld="6" subtotal="count" baseField="0" baseItem="0"/>
    <dataField name="Min of Area (sqm)" fld="2" subtotal="min" baseField="1" baseItem="0"/>
    <dataField name="Max of Area (sqm)" fld="2" subtotal="max" baseField="1" baseItem="1"/>
    <dataField name="Min of Total List Price (TLP)" fld="8" subtotal="min" baseField="1" baseItem="2"/>
    <dataField name="Max of Total List Price (TLP)2" fld="8" subtotal="max" baseField="1" baseItem="1"/>
  </dataFields>
  <formats count="2">
    <format dxfId="3">
      <pivotArea collapsedLevelsAreSubtotals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">
      <pivotArea collapsedLevelsAreSubtotals="1" fieldPosition="0">
        <references count="2">
          <reference field="4294967294" count="2" selected="0">
            <x v="3"/>
            <x v="4"/>
          </reference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7" firstHeaderRow="1" firstDataRow="1" firstDataCol="1"/>
  <pivotFields count="10">
    <pivotField showAll="0"/>
    <pivotField axis="axisRow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verage of Price/sqm" fld="5" subtotal="average" baseField="1" baseItem="1"/>
  </dataFields>
  <formats count="2">
    <format dxfId="1">
      <pivotArea collapsedLevelsAreSubtotals="1" fieldPosition="0">
        <references count="1">
          <reference field="1" count="3">
            <x v="0"/>
            <x v="1"/>
            <x v="2"/>
          </reference>
        </references>
      </pivotArea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21"/>
  <sheetViews>
    <sheetView workbookViewId="0">
      <selection activeCell="B29" sqref="B29"/>
    </sheetView>
  </sheetViews>
  <sheetFormatPr defaultRowHeight="14.4" x14ac:dyDescent="0.3"/>
  <cols>
    <col min="1" max="1" width="12.5546875" bestFit="1" customWidth="1"/>
    <col min="2" max="2" width="26.77734375" bestFit="1" customWidth="1"/>
    <col min="3" max="3" width="16.33203125" customWidth="1"/>
    <col min="4" max="4" width="16.6640625" customWidth="1"/>
    <col min="5" max="5" width="24.109375" customWidth="1"/>
    <col min="6" max="6" width="25.5546875" bestFit="1" customWidth="1"/>
  </cols>
  <sheetData>
    <row r="6" spans="1:6" x14ac:dyDescent="0.3">
      <c r="A6" s="168" t="s">
        <v>110</v>
      </c>
      <c r="B6" t="s">
        <v>119</v>
      </c>
      <c r="C6" t="s">
        <v>127</v>
      </c>
      <c r="D6" t="s">
        <v>128</v>
      </c>
      <c r="E6" t="s">
        <v>120</v>
      </c>
      <c r="F6" t="s">
        <v>121</v>
      </c>
    </row>
    <row r="7" spans="1:6" x14ac:dyDescent="0.3">
      <c r="A7" s="169" t="s">
        <v>14</v>
      </c>
      <c r="B7" s="192">
        <v>4</v>
      </c>
      <c r="C7" s="193">
        <v>23.74</v>
      </c>
      <c r="D7" s="192">
        <v>31.68</v>
      </c>
      <c r="E7" s="193">
        <v>4671700</v>
      </c>
      <c r="F7" s="193">
        <v>6145400</v>
      </c>
    </row>
    <row r="8" spans="1:6" x14ac:dyDescent="0.3">
      <c r="A8" s="169" t="s">
        <v>16</v>
      </c>
      <c r="B8" s="192">
        <v>6</v>
      </c>
      <c r="C8" s="193">
        <v>33.46</v>
      </c>
      <c r="D8" s="192">
        <v>34.049999999999997</v>
      </c>
      <c r="E8" s="193">
        <v>6462800</v>
      </c>
      <c r="F8" s="193">
        <v>6580200</v>
      </c>
    </row>
    <row r="9" spans="1:6" x14ac:dyDescent="0.3">
      <c r="A9" s="169" t="s">
        <v>15</v>
      </c>
      <c r="B9" s="192">
        <v>4</v>
      </c>
      <c r="C9" s="193">
        <v>50.2</v>
      </c>
      <c r="D9" s="192">
        <v>50.2</v>
      </c>
      <c r="E9" s="193">
        <v>9595700</v>
      </c>
      <c r="F9" s="193">
        <v>9666000</v>
      </c>
    </row>
    <row r="10" spans="1:6" x14ac:dyDescent="0.3">
      <c r="A10" s="169" t="s">
        <v>111</v>
      </c>
      <c r="B10" s="192">
        <v>14</v>
      </c>
      <c r="C10" s="192">
        <v>23.74</v>
      </c>
      <c r="D10" s="192">
        <v>50.2</v>
      </c>
      <c r="E10" s="192">
        <v>4671700</v>
      </c>
      <c r="F10" s="192">
        <v>9666000</v>
      </c>
    </row>
    <row r="17" spans="2:7" ht="15.6" x14ac:dyDescent="0.3">
      <c r="B17" s="216" t="s">
        <v>36</v>
      </c>
      <c r="C17" s="217" t="s">
        <v>122</v>
      </c>
      <c r="D17" s="218" t="s">
        <v>123</v>
      </c>
      <c r="E17" s="218"/>
      <c r="F17" s="218" t="s">
        <v>124</v>
      </c>
      <c r="G17" s="218"/>
    </row>
    <row r="18" spans="2:7" x14ac:dyDescent="0.3">
      <c r="B18" s="216"/>
      <c r="C18" s="217"/>
      <c r="D18" s="194" t="s">
        <v>125</v>
      </c>
      <c r="E18" s="194" t="s">
        <v>126</v>
      </c>
      <c r="F18" s="194" t="s">
        <v>125</v>
      </c>
      <c r="G18" s="194" t="s">
        <v>126</v>
      </c>
    </row>
    <row r="19" spans="2:7" x14ac:dyDescent="0.3">
      <c r="B19" s="169" t="s">
        <v>14</v>
      </c>
      <c r="C19" s="192">
        <v>4</v>
      </c>
      <c r="D19" s="193">
        <v>27.875</v>
      </c>
      <c r="E19" s="192">
        <v>31.68</v>
      </c>
      <c r="F19" s="193">
        <v>4671700</v>
      </c>
      <c r="G19" s="193">
        <v>6145400</v>
      </c>
    </row>
    <row r="20" spans="2:7" x14ac:dyDescent="0.3">
      <c r="B20" s="169" t="s">
        <v>16</v>
      </c>
      <c r="C20" s="192">
        <v>6</v>
      </c>
      <c r="D20" s="193">
        <v>33.853333333333332</v>
      </c>
      <c r="E20" s="192">
        <v>34.049999999999997</v>
      </c>
      <c r="F20" s="193">
        <v>6462800</v>
      </c>
      <c r="G20" s="193">
        <v>6580200</v>
      </c>
    </row>
    <row r="21" spans="2:7" x14ac:dyDescent="0.3">
      <c r="B21" s="169" t="s">
        <v>15</v>
      </c>
      <c r="C21" s="192">
        <v>4</v>
      </c>
      <c r="D21" s="193">
        <v>50.2</v>
      </c>
      <c r="E21" s="192">
        <v>50.2</v>
      </c>
      <c r="F21" s="193">
        <v>9595700</v>
      </c>
      <c r="G21" s="193">
        <v>9666000</v>
      </c>
    </row>
  </sheetData>
  <mergeCells count="4">
    <mergeCell ref="B17:B18"/>
    <mergeCell ref="C17:C18"/>
    <mergeCell ref="D17:E17"/>
    <mergeCell ref="F17:G1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19"/>
  <sheetViews>
    <sheetView workbookViewId="0">
      <selection sqref="A1:XFD1048576"/>
    </sheetView>
  </sheetViews>
  <sheetFormatPr defaultRowHeight="13.8" x14ac:dyDescent="0.25"/>
  <cols>
    <col min="1" max="1" width="3.5546875" style="140" customWidth="1"/>
    <col min="2" max="2" width="10.88671875" style="140" customWidth="1"/>
    <col min="3" max="3" width="12.109375" style="140" customWidth="1"/>
    <col min="4" max="4" width="10.5546875" style="140" customWidth="1"/>
    <col min="5" max="5" width="12.44140625" style="140" customWidth="1"/>
    <col min="6" max="6" width="25.6640625" style="140" customWidth="1"/>
    <col min="7" max="16384" width="8.88671875" style="140"/>
  </cols>
  <sheetData>
    <row r="3" spans="1:7" ht="15" x14ac:dyDescent="0.25">
      <c r="B3" s="148" t="s">
        <v>12</v>
      </c>
    </row>
    <row r="5" spans="1:7" s="31" customFormat="1" ht="15" x14ac:dyDescent="0.25">
      <c r="B5" s="141" t="s">
        <v>3</v>
      </c>
      <c r="C5" s="141" t="s">
        <v>4</v>
      </c>
      <c r="D5" s="141" t="s">
        <v>37</v>
      </c>
      <c r="E5" s="141" t="s">
        <v>106</v>
      </c>
      <c r="F5" s="141" t="s">
        <v>108</v>
      </c>
    </row>
    <row r="6" spans="1:7" s="31" customFormat="1" ht="15" x14ac:dyDescent="0.25">
      <c r="A6" s="31">
        <v>1</v>
      </c>
      <c r="B6" s="142">
        <v>615</v>
      </c>
      <c r="C6" s="142" t="s">
        <v>14</v>
      </c>
      <c r="D6" s="149" t="s">
        <v>92</v>
      </c>
      <c r="E6" s="142" t="s">
        <v>91</v>
      </c>
      <c r="F6" s="143" t="s">
        <v>93</v>
      </c>
    </row>
    <row r="7" spans="1:7" s="31" customFormat="1" ht="15" x14ac:dyDescent="0.25">
      <c r="A7" s="31">
        <v>2</v>
      </c>
      <c r="B7" s="142">
        <v>618</v>
      </c>
      <c r="C7" s="142" t="s">
        <v>14</v>
      </c>
      <c r="D7" s="149" t="s">
        <v>94</v>
      </c>
      <c r="E7" s="142" t="s">
        <v>91</v>
      </c>
      <c r="F7" s="143" t="s">
        <v>93</v>
      </c>
    </row>
    <row r="8" spans="1:7" s="31" customFormat="1" ht="15" x14ac:dyDescent="0.25">
      <c r="A8" s="31">
        <v>3</v>
      </c>
      <c r="B8" s="145">
        <v>1106</v>
      </c>
      <c r="C8" s="145" t="s">
        <v>15</v>
      </c>
      <c r="D8" s="150">
        <f>Pricelist!D10</f>
        <v>50.2</v>
      </c>
      <c r="E8" s="145" t="s">
        <v>107</v>
      </c>
      <c r="F8" s="146"/>
      <c r="G8" s="147" t="s">
        <v>105</v>
      </c>
    </row>
    <row r="9" spans="1:7" s="31" customFormat="1" ht="15" x14ac:dyDescent="0.25">
      <c r="A9" s="31">
        <v>4</v>
      </c>
      <c r="B9" s="142">
        <v>2103</v>
      </c>
      <c r="C9" s="142" t="s">
        <v>14</v>
      </c>
      <c r="D9" s="149">
        <f>Pricelist!D11</f>
        <v>26.92</v>
      </c>
      <c r="E9" s="142" t="s">
        <v>91</v>
      </c>
      <c r="F9" s="143" t="s">
        <v>99</v>
      </c>
    </row>
    <row r="10" spans="1:7" s="31" customFormat="1" ht="15" x14ac:dyDescent="0.25">
      <c r="A10" s="31">
        <v>5</v>
      </c>
      <c r="B10" s="142">
        <v>2206</v>
      </c>
      <c r="C10" s="142" t="s">
        <v>95</v>
      </c>
      <c r="D10" s="149" t="s">
        <v>96</v>
      </c>
      <c r="E10" s="142" t="s">
        <v>91</v>
      </c>
      <c r="F10" s="143" t="s">
        <v>93</v>
      </c>
    </row>
    <row r="11" spans="1:7" s="31" customFormat="1" ht="30" x14ac:dyDescent="0.25">
      <c r="A11" s="31">
        <v>6</v>
      </c>
      <c r="B11" s="151">
        <v>2406</v>
      </c>
      <c r="C11" s="152" t="s">
        <v>15</v>
      </c>
      <c r="D11" s="153">
        <f>Pricelist!D13</f>
        <v>50.2</v>
      </c>
      <c r="E11" s="152" t="s">
        <v>97</v>
      </c>
      <c r="F11" s="154"/>
      <c r="G11" s="147" t="s">
        <v>104</v>
      </c>
    </row>
    <row r="12" spans="1:7" s="31" customFormat="1" ht="15" x14ac:dyDescent="0.25">
      <c r="A12" s="31">
        <v>7</v>
      </c>
      <c r="B12" s="144">
        <v>2606</v>
      </c>
      <c r="C12" s="142" t="s">
        <v>15</v>
      </c>
      <c r="D12" s="149" t="s">
        <v>98</v>
      </c>
      <c r="E12" s="142" t="s">
        <v>91</v>
      </c>
      <c r="F12" s="143" t="s">
        <v>99</v>
      </c>
    </row>
    <row r="13" spans="1:7" s="31" customFormat="1" ht="15" x14ac:dyDescent="0.25">
      <c r="A13" s="31">
        <v>8</v>
      </c>
      <c r="B13" s="144">
        <v>2815</v>
      </c>
      <c r="C13" s="142" t="s">
        <v>16</v>
      </c>
      <c r="D13" s="149">
        <v>34.049999999999997</v>
      </c>
      <c r="E13" s="142" t="s">
        <v>91</v>
      </c>
      <c r="F13" s="143" t="s">
        <v>93</v>
      </c>
    </row>
    <row r="14" spans="1:7" s="31" customFormat="1" ht="15" x14ac:dyDescent="0.25">
      <c r="A14" s="31">
        <v>9</v>
      </c>
      <c r="B14" s="144">
        <v>2915</v>
      </c>
      <c r="C14" s="142" t="s">
        <v>16</v>
      </c>
      <c r="D14" s="149">
        <v>34.049999999999997</v>
      </c>
      <c r="E14" s="142" t="s">
        <v>91</v>
      </c>
      <c r="F14" s="143" t="s">
        <v>100</v>
      </c>
    </row>
    <row r="15" spans="1:7" s="31" customFormat="1" ht="15" x14ac:dyDescent="0.25">
      <c r="A15" s="31">
        <v>10</v>
      </c>
      <c r="B15" s="144">
        <v>3115</v>
      </c>
      <c r="C15" s="142" t="s">
        <v>16</v>
      </c>
      <c r="D15" s="149">
        <v>34.049999999999997</v>
      </c>
      <c r="E15" s="142" t="s">
        <v>91</v>
      </c>
      <c r="F15" s="143" t="s">
        <v>99</v>
      </c>
    </row>
    <row r="16" spans="1:7" s="31" customFormat="1" ht="15" x14ac:dyDescent="0.25">
      <c r="A16" s="31">
        <v>11</v>
      </c>
      <c r="B16" s="144">
        <v>3214</v>
      </c>
      <c r="C16" s="142" t="s">
        <v>16</v>
      </c>
      <c r="D16" s="149">
        <v>34.049999999999997</v>
      </c>
      <c r="E16" s="142" t="s">
        <v>91</v>
      </c>
      <c r="F16" s="143" t="s">
        <v>99</v>
      </c>
    </row>
    <row r="17" spans="1:6" s="31" customFormat="1" ht="15" x14ac:dyDescent="0.25">
      <c r="A17" s="31">
        <v>12</v>
      </c>
      <c r="B17" s="144" t="s">
        <v>101</v>
      </c>
      <c r="C17" s="142" t="s">
        <v>16</v>
      </c>
      <c r="D17" s="149">
        <v>34.049999999999997</v>
      </c>
      <c r="E17" s="142" t="s">
        <v>91</v>
      </c>
      <c r="F17" s="143" t="s">
        <v>93</v>
      </c>
    </row>
    <row r="18" spans="1:6" s="31" customFormat="1" ht="15" x14ac:dyDescent="0.25">
      <c r="A18" s="31">
        <v>13</v>
      </c>
      <c r="B18" s="144" t="s">
        <v>102</v>
      </c>
      <c r="C18" s="142" t="s">
        <v>16</v>
      </c>
      <c r="D18" s="149">
        <v>34.049999999999997</v>
      </c>
      <c r="E18" s="142" t="s">
        <v>91</v>
      </c>
      <c r="F18" s="143" t="s">
        <v>100</v>
      </c>
    </row>
    <row r="19" spans="1:6" s="31" customFormat="1" ht="15" x14ac:dyDescent="0.25">
      <c r="A19" s="31">
        <v>14</v>
      </c>
      <c r="B19" s="142" t="s">
        <v>103</v>
      </c>
      <c r="C19" s="142" t="s">
        <v>14</v>
      </c>
      <c r="D19" s="149">
        <v>23.74</v>
      </c>
      <c r="E19" s="142" t="s">
        <v>91</v>
      </c>
      <c r="F19" s="143" t="s">
        <v>93</v>
      </c>
    </row>
  </sheetData>
  <pageMargins left="0.7" right="0.7" top="0.75" bottom="0.75" header="0.3" footer="0.3"/>
  <pageSetup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8"/>
  <sheetViews>
    <sheetView workbookViewId="0">
      <selection activeCell="G16" sqref="G16"/>
    </sheetView>
  </sheetViews>
  <sheetFormatPr defaultRowHeight="13.2" x14ac:dyDescent="0.25"/>
  <cols>
    <col min="1" max="1" width="3.5546875" style="156" customWidth="1"/>
    <col min="2" max="2" width="7.88671875" style="156" bestFit="1" customWidth="1"/>
    <col min="3" max="3" width="12.109375" style="156" customWidth="1"/>
    <col min="4" max="4" width="9.33203125" style="156" customWidth="1"/>
    <col min="5" max="5" width="14.21875" style="156" customWidth="1"/>
    <col min="6" max="6" width="20.5546875" style="156" customWidth="1"/>
    <col min="7" max="16384" width="8.88671875" style="156"/>
  </cols>
  <sheetData>
    <row r="3" spans="1:7" x14ac:dyDescent="0.25">
      <c r="B3" s="157" t="s">
        <v>12</v>
      </c>
    </row>
    <row r="5" spans="1:7" ht="26.4" x14ac:dyDescent="0.25">
      <c r="B5" s="158" t="s">
        <v>3</v>
      </c>
      <c r="C5" s="158" t="s">
        <v>4</v>
      </c>
      <c r="D5" s="158" t="s">
        <v>5</v>
      </c>
      <c r="E5" s="158" t="s">
        <v>106</v>
      </c>
      <c r="F5" s="158" t="s">
        <v>108</v>
      </c>
    </row>
    <row r="6" spans="1:7" x14ac:dyDescent="0.25">
      <c r="A6" s="156">
        <v>1</v>
      </c>
      <c r="B6" s="159">
        <v>615</v>
      </c>
      <c r="C6" s="159" t="s">
        <v>14</v>
      </c>
      <c r="D6" s="162">
        <v>29.16</v>
      </c>
      <c r="E6" s="159" t="s">
        <v>91</v>
      </c>
      <c r="F6" s="167" t="s">
        <v>93</v>
      </c>
    </row>
    <row r="7" spans="1:7" x14ac:dyDescent="0.25">
      <c r="A7" s="156">
        <v>2</v>
      </c>
      <c r="B7" s="159">
        <v>618</v>
      </c>
      <c r="C7" s="159" t="s">
        <v>14</v>
      </c>
      <c r="D7" s="162">
        <v>28.68</v>
      </c>
      <c r="E7" s="159" t="s">
        <v>91</v>
      </c>
      <c r="F7" s="167" t="s">
        <v>93</v>
      </c>
    </row>
    <row r="8" spans="1:7" x14ac:dyDescent="0.25">
      <c r="A8" s="156">
        <v>3</v>
      </c>
      <c r="B8" s="161">
        <v>1106</v>
      </c>
      <c r="C8" s="161" t="s">
        <v>15</v>
      </c>
      <c r="D8" s="162">
        <f>Pricelist!D10</f>
        <v>50.2</v>
      </c>
      <c r="E8" s="161" t="s">
        <v>109</v>
      </c>
      <c r="F8" s="166"/>
      <c r="G8" s="163"/>
    </row>
    <row r="9" spans="1:7" x14ac:dyDescent="0.25">
      <c r="A9" s="156">
        <v>4</v>
      </c>
      <c r="B9" s="159">
        <v>2103</v>
      </c>
      <c r="C9" s="159" t="s">
        <v>14</v>
      </c>
      <c r="D9" s="160">
        <f>Pricelist!D11</f>
        <v>26.92</v>
      </c>
      <c r="E9" s="159" t="s">
        <v>91</v>
      </c>
      <c r="F9" s="165" t="s">
        <v>99</v>
      </c>
    </row>
    <row r="10" spans="1:7" x14ac:dyDescent="0.25">
      <c r="A10" s="156">
        <v>5</v>
      </c>
      <c r="B10" s="159">
        <v>2206</v>
      </c>
      <c r="C10" s="159" t="s">
        <v>95</v>
      </c>
      <c r="D10" s="160">
        <v>50.2</v>
      </c>
      <c r="E10" s="159" t="s">
        <v>91</v>
      </c>
      <c r="F10" s="167" t="s">
        <v>93</v>
      </c>
    </row>
    <row r="11" spans="1:7" x14ac:dyDescent="0.25">
      <c r="A11" s="156">
        <v>6</v>
      </c>
      <c r="B11" s="164">
        <v>2606</v>
      </c>
      <c r="C11" s="159" t="s">
        <v>15</v>
      </c>
      <c r="D11" s="160">
        <v>50.2</v>
      </c>
      <c r="E11" s="159" t="s">
        <v>91</v>
      </c>
      <c r="F11" s="165" t="s">
        <v>99</v>
      </c>
    </row>
    <row r="12" spans="1:7" x14ac:dyDescent="0.25">
      <c r="A12" s="156">
        <v>7</v>
      </c>
      <c r="B12" s="164">
        <v>2815</v>
      </c>
      <c r="C12" s="159" t="s">
        <v>16</v>
      </c>
      <c r="D12" s="160">
        <v>34.049999999999997</v>
      </c>
      <c r="E12" s="159" t="s">
        <v>91</v>
      </c>
      <c r="F12" s="167" t="s">
        <v>93</v>
      </c>
    </row>
    <row r="13" spans="1:7" x14ac:dyDescent="0.25">
      <c r="A13" s="156">
        <v>8</v>
      </c>
      <c r="B13" s="164">
        <v>2915</v>
      </c>
      <c r="C13" s="159" t="s">
        <v>16</v>
      </c>
      <c r="D13" s="160">
        <v>34.049999999999997</v>
      </c>
      <c r="E13" s="159" t="s">
        <v>91</v>
      </c>
      <c r="F13" s="165" t="s">
        <v>100</v>
      </c>
    </row>
    <row r="14" spans="1:7" x14ac:dyDescent="0.25">
      <c r="A14" s="156">
        <v>9</v>
      </c>
      <c r="B14" s="164">
        <v>3115</v>
      </c>
      <c r="C14" s="159" t="s">
        <v>16</v>
      </c>
      <c r="D14" s="160">
        <v>34.049999999999997</v>
      </c>
      <c r="E14" s="159" t="s">
        <v>91</v>
      </c>
      <c r="F14" s="165" t="s">
        <v>99</v>
      </c>
    </row>
    <row r="15" spans="1:7" x14ac:dyDescent="0.25">
      <c r="A15" s="156">
        <v>10</v>
      </c>
      <c r="B15" s="164">
        <v>3214</v>
      </c>
      <c r="C15" s="159" t="s">
        <v>16</v>
      </c>
      <c r="D15" s="160">
        <v>34.049999999999997</v>
      </c>
      <c r="E15" s="159" t="s">
        <v>91</v>
      </c>
      <c r="F15" s="165" t="s">
        <v>99</v>
      </c>
    </row>
    <row r="16" spans="1:7" x14ac:dyDescent="0.25">
      <c r="A16" s="156">
        <v>11</v>
      </c>
      <c r="B16" s="164" t="s">
        <v>101</v>
      </c>
      <c r="C16" s="159" t="s">
        <v>16</v>
      </c>
      <c r="D16" s="160">
        <v>34.049999999999997</v>
      </c>
      <c r="E16" s="159" t="s">
        <v>91</v>
      </c>
      <c r="F16" s="167" t="s">
        <v>93</v>
      </c>
    </row>
    <row r="17" spans="1:6" x14ac:dyDescent="0.25">
      <c r="A17" s="156">
        <v>12</v>
      </c>
      <c r="B17" s="164" t="s">
        <v>102</v>
      </c>
      <c r="C17" s="159" t="s">
        <v>16</v>
      </c>
      <c r="D17" s="160">
        <v>34.049999999999997</v>
      </c>
      <c r="E17" s="159" t="s">
        <v>91</v>
      </c>
      <c r="F17" s="165" t="s">
        <v>100</v>
      </c>
    </row>
    <row r="18" spans="1:6" x14ac:dyDescent="0.25">
      <c r="A18" s="156">
        <v>13</v>
      </c>
      <c r="B18" s="159" t="s">
        <v>103</v>
      </c>
      <c r="C18" s="159" t="s">
        <v>14</v>
      </c>
      <c r="D18" s="160">
        <v>23.74</v>
      </c>
      <c r="E18" s="159" t="s">
        <v>91</v>
      </c>
      <c r="F18" s="167" t="s">
        <v>93</v>
      </c>
    </row>
  </sheetData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7"/>
  <sheetViews>
    <sheetView workbookViewId="0">
      <selection activeCell="G16" sqref="G16"/>
    </sheetView>
  </sheetViews>
  <sheetFormatPr defaultRowHeight="13.8" x14ac:dyDescent="0.25"/>
  <cols>
    <col min="1" max="1" width="3.5546875" style="140" customWidth="1"/>
    <col min="2" max="2" width="10.88671875" style="140" customWidth="1"/>
    <col min="3" max="3" width="12.109375" style="140" customWidth="1"/>
    <col min="4" max="4" width="10.5546875" style="140" customWidth="1"/>
    <col min="5" max="5" width="12.44140625" style="140" customWidth="1"/>
    <col min="6" max="6" width="25.6640625" style="140" customWidth="1"/>
    <col min="7" max="16384" width="8.88671875" style="140"/>
  </cols>
  <sheetData>
    <row r="3" spans="2:6" ht="15" x14ac:dyDescent="0.25">
      <c r="B3" s="148" t="s">
        <v>12</v>
      </c>
    </row>
    <row r="5" spans="2:6" s="31" customFormat="1" ht="15" x14ac:dyDescent="0.25">
      <c r="B5" s="141" t="s">
        <v>3</v>
      </c>
      <c r="C5" s="141" t="s">
        <v>4</v>
      </c>
      <c r="D5" s="141" t="s">
        <v>37</v>
      </c>
      <c r="E5" s="141" t="s">
        <v>106</v>
      </c>
      <c r="F5" s="141" t="s">
        <v>108</v>
      </c>
    </row>
    <row r="6" spans="2:6" s="31" customFormat="1" ht="15" x14ac:dyDescent="0.25">
      <c r="B6" s="142">
        <v>615</v>
      </c>
      <c r="C6" s="142" t="s">
        <v>14</v>
      </c>
      <c r="D6" s="155" t="s">
        <v>92</v>
      </c>
      <c r="E6" s="142" t="s">
        <v>91</v>
      </c>
      <c r="F6" s="143" t="s">
        <v>93</v>
      </c>
    </row>
    <row r="7" spans="2:6" s="31" customFormat="1" ht="15" x14ac:dyDescent="0.25">
      <c r="B7" s="142">
        <v>618</v>
      </c>
      <c r="C7" s="142" t="s">
        <v>14</v>
      </c>
      <c r="D7" s="155" t="s">
        <v>94</v>
      </c>
      <c r="E7" s="142" t="s">
        <v>91</v>
      </c>
      <c r="F7" s="143" t="s">
        <v>93</v>
      </c>
    </row>
    <row r="8" spans="2:6" s="31" customFormat="1" ht="15" x14ac:dyDescent="0.25">
      <c r="B8" s="142">
        <v>2103</v>
      </c>
      <c r="C8" s="142" t="s">
        <v>14</v>
      </c>
      <c r="D8" s="155">
        <v>26.92</v>
      </c>
      <c r="E8" s="142" t="s">
        <v>91</v>
      </c>
      <c r="F8" s="143" t="s">
        <v>99</v>
      </c>
    </row>
    <row r="9" spans="2:6" s="31" customFormat="1" ht="15" x14ac:dyDescent="0.25">
      <c r="B9" s="142">
        <v>2206</v>
      </c>
      <c r="C9" s="142" t="s">
        <v>95</v>
      </c>
      <c r="D9" s="155" t="s">
        <v>96</v>
      </c>
      <c r="E9" s="142" t="s">
        <v>91</v>
      </c>
      <c r="F9" s="143" t="s">
        <v>93</v>
      </c>
    </row>
    <row r="10" spans="2:6" s="31" customFormat="1" ht="15" x14ac:dyDescent="0.25">
      <c r="B10" s="144">
        <v>2606</v>
      </c>
      <c r="C10" s="142" t="s">
        <v>15</v>
      </c>
      <c r="D10" s="155" t="s">
        <v>98</v>
      </c>
      <c r="E10" s="142" t="s">
        <v>91</v>
      </c>
      <c r="F10" s="143" t="s">
        <v>99</v>
      </c>
    </row>
    <row r="11" spans="2:6" s="31" customFormat="1" ht="15" x14ac:dyDescent="0.25">
      <c r="B11" s="144">
        <v>2815</v>
      </c>
      <c r="C11" s="142" t="s">
        <v>16</v>
      </c>
      <c r="D11" s="155">
        <v>34.049999999999997</v>
      </c>
      <c r="E11" s="142" t="s">
        <v>91</v>
      </c>
      <c r="F11" s="143" t="s">
        <v>93</v>
      </c>
    </row>
    <row r="12" spans="2:6" s="31" customFormat="1" ht="15" x14ac:dyDescent="0.25">
      <c r="B12" s="144">
        <v>2915</v>
      </c>
      <c r="C12" s="142" t="s">
        <v>16</v>
      </c>
      <c r="D12" s="155">
        <v>34.049999999999997</v>
      </c>
      <c r="E12" s="142" t="s">
        <v>91</v>
      </c>
      <c r="F12" s="143" t="s">
        <v>100</v>
      </c>
    </row>
    <row r="13" spans="2:6" s="31" customFormat="1" ht="15" x14ac:dyDescent="0.25">
      <c r="B13" s="144">
        <v>3115</v>
      </c>
      <c r="C13" s="142" t="s">
        <v>16</v>
      </c>
      <c r="D13" s="155">
        <v>34.049999999999997</v>
      </c>
      <c r="E13" s="142" t="s">
        <v>91</v>
      </c>
      <c r="F13" s="143" t="s">
        <v>99</v>
      </c>
    </row>
    <row r="14" spans="2:6" s="31" customFormat="1" ht="15" x14ac:dyDescent="0.25">
      <c r="B14" s="144">
        <v>3214</v>
      </c>
      <c r="C14" s="142" t="s">
        <v>16</v>
      </c>
      <c r="D14" s="155">
        <v>34.049999999999997</v>
      </c>
      <c r="E14" s="142" t="s">
        <v>91</v>
      </c>
      <c r="F14" s="143" t="s">
        <v>99</v>
      </c>
    </row>
    <row r="15" spans="2:6" s="31" customFormat="1" ht="15" x14ac:dyDescent="0.25">
      <c r="B15" s="144" t="s">
        <v>101</v>
      </c>
      <c r="C15" s="142" t="s">
        <v>16</v>
      </c>
      <c r="D15" s="155">
        <v>34.049999999999997</v>
      </c>
      <c r="E15" s="142" t="s">
        <v>91</v>
      </c>
      <c r="F15" s="143" t="s">
        <v>93</v>
      </c>
    </row>
    <row r="16" spans="2:6" s="31" customFormat="1" ht="15" x14ac:dyDescent="0.25">
      <c r="B16" s="144" t="s">
        <v>102</v>
      </c>
      <c r="C16" s="142" t="s">
        <v>16</v>
      </c>
      <c r="D16" s="155">
        <v>34.049999999999997</v>
      </c>
      <c r="E16" s="142" t="s">
        <v>91</v>
      </c>
      <c r="F16" s="143" t="s">
        <v>100</v>
      </c>
    </row>
    <row r="17" spans="2:6" s="31" customFormat="1" ht="15" x14ac:dyDescent="0.25">
      <c r="B17" s="142" t="s">
        <v>103</v>
      </c>
      <c r="C17" s="142" t="s">
        <v>14</v>
      </c>
      <c r="D17" s="155">
        <v>23.74</v>
      </c>
      <c r="E17" s="142" t="s">
        <v>91</v>
      </c>
      <c r="F17" s="143" t="s">
        <v>93</v>
      </c>
    </row>
  </sheetData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73"/>
  <sheetViews>
    <sheetView zoomScale="85" zoomScaleNormal="85" workbookViewId="0">
      <selection activeCell="J22" sqref="J22"/>
    </sheetView>
  </sheetViews>
  <sheetFormatPr defaultRowHeight="13.2" x14ac:dyDescent="0.25"/>
  <cols>
    <col min="1" max="1" width="5" style="104" bestFit="1" customWidth="1"/>
    <col min="2" max="2" width="35.5546875" style="104" bestFit="1" customWidth="1"/>
    <col min="3" max="3" width="13.88671875" style="104" customWidth="1"/>
    <col min="4" max="4" width="19.88671875" style="104" customWidth="1"/>
    <col min="5" max="5" width="6" style="104" customWidth="1"/>
    <col min="6" max="6" width="23.109375" style="104" bestFit="1" customWidth="1"/>
    <col min="7" max="8" width="8.88671875" style="104"/>
    <col min="9" max="9" width="15.44140625" style="104" customWidth="1"/>
    <col min="10" max="11" width="8.88671875" style="104"/>
    <col min="12" max="12" width="3" style="104" hidden="1" customWidth="1"/>
    <col min="13" max="16384" width="8.88671875" style="104"/>
  </cols>
  <sheetData>
    <row r="1" spans="1:12" ht="13.2" customHeight="1" x14ac:dyDescent="0.25">
      <c r="A1" s="224" t="s">
        <v>33</v>
      </c>
      <c r="B1" s="224"/>
      <c r="C1" s="224"/>
      <c r="D1" s="224"/>
      <c r="E1" s="224"/>
      <c r="F1" s="224"/>
      <c r="G1" s="224"/>
      <c r="H1" s="224"/>
      <c r="I1" s="224"/>
    </row>
    <row r="2" spans="1:12" ht="13.2" customHeight="1" x14ac:dyDescent="0.25">
      <c r="A2" s="224"/>
      <c r="B2" s="224"/>
      <c r="C2" s="224"/>
      <c r="D2" s="224"/>
      <c r="E2" s="224"/>
      <c r="F2" s="224"/>
      <c r="G2" s="224"/>
      <c r="H2" s="224"/>
      <c r="I2" s="224"/>
    </row>
    <row r="3" spans="1:12" x14ac:dyDescent="0.25">
      <c r="L3" s="104">
        <v>30</v>
      </c>
    </row>
    <row r="4" spans="1:12" ht="13.8" x14ac:dyDescent="0.25">
      <c r="B4" s="67" t="s">
        <v>34</v>
      </c>
      <c r="C4" s="67"/>
      <c r="D4" s="105">
        <v>44166</v>
      </c>
      <c r="E4" s="63"/>
      <c r="F4" s="63"/>
      <c r="G4" s="63"/>
      <c r="H4" s="63"/>
      <c r="I4" s="63"/>
      <c r="L4" s="104">
        <v>60</v>
      </c>
    </row>
    <row r="5" spans="1:12" ht="13.8" x14ac:dyDescent="0.25">
      <c r="B5" s="67"/>
      <c r="C5" s="67"/>
      <c r="D5" s="67"/>
      <c r="E5" s="67"/>
      <c r="F5" s="67"/>
      <c r="G5" s="63"/>
      <c r="H5" s="63"/>
      <c r="I5" s="63"/>
      <c r="L5" s="104">
        <v>90</v>
      </c>
    </row>
    <row r="6" spans="1:12" ht="15" x14ac:dyDescent="0.25">
      <c r="B6" s="67" t="s">
        <v>35</v>
      </c>
      <c r="C6" s="67"/>
      <c r="D6" s="106" t="str">
        <f>Pricelist!A1</f>
        <v>2 Torre</v>
      </c>
      <c r="E6" s="67"/>
      <c r="F6" s="67"/>
      <c r="G6" s="63"/>
      <c r="H6" s="63"/>
      <c r="I6" s="63"/>
    </row>
    <row r="7" spans="1:12" ht="13.8" x14ac:dyDescent="0.25">
      <c r="B7" s="70" t="s">
        <v>3</v>
      </c>
      <c r="C7" s="67"/>
      <c r="D7" s="107">
        <v>618</v>
      </c>
      <c r="E7" s="63"/>
      <c r="F7" s="63"/>
      <c r="G7" s="63"/>
      <c r="H7" s="63"/>
      <c r="I7" s="63"/>
    </row>
    <row r="8" spans="1:12" ht="13.8" hidden="1" customHeight="1" x14ac:dyDescent="0.25">
      <c r="B8" s="67" t="s">
        <v>3</v>
      </c>
      <c r="C8" s="67"/>
      <c r="D8" s="108">
        <f>VLOOKUP($D$7,Pricelist!$B$8:$H$21,1,FALSE)</f>
        <v>618</v>
      </c>
      <c r="E8" s="48"/>
      <c r="F8" s="63"/>
      <c r="G8" s="63"/>
      <c r="H8" s="63"/>
      <c r="I8" s="63"/>
    </row>
    <row r="9" spans="1:12" ht="13.8" customHeight="1" x14ac:dyDescent="0.25">
      <c r="B9" s="67" t="s">
        <v>36</v>
      </c>
      <c r="C9" s="67"/>
      <c r="D9" s="109" t="str">
        <f>VLOOKUP($D$7,Pricelist!$B$8:$H$21,2,FALSE)</f>
        <v>Studio</v>
      </c>
      <c r="E9" s="110"/>
      <c r="F9" s="63"/>
      <c r="G9" s="63"/>
      <c r="H9" s="63"/>
      <c r="I9" s="63"/>
    </row>
    <row r="10" spans="1:12" ht="13.8" x14ac:dyDescent="0.25">
      <c r="B10" s="67" t="s">
        <v>37</v>
      </c>
      <c r="C10" s="67"/>
      <c r="D10" s="109">
        <f>VLOOKUP($D$7,Pricelist!$B$8:$H$21,3,FALSE)</f>
        <v>31.68</v>
      </c>
      <c r="E10" s="63" t="s">
        <v>38</v>
      </c>
      <c r="F10" s="63"/>
      <c r="G10" s="63"/>
      <c r="H10" s="63"/>
      <c r="I10" s="63"/>
    </row>
    <row r="11" spans="1:12" ht="13.8" x14ac:dyDescent="0.25">
      <c r="B11" s="67"/>
      <c r="C11" s="67"/>
      <c r="D11" s="109"/>
      <c r="E11" s="63"/>
      <c r="F11" s="63"/>
      <c r="G11" s="63"/>
      <c r="H11" s="63"/>
      <c r="I11" s="63"/>
    </row>
    <row r="12" spans="1:12" ht="13.8" x14ac:dyDescent="0.25">
      <c r="B12" s="70" t="s">
        <v>39</v>
      </c>
      <c r="C12" s="70"/>
      <c r="D12" s="136">
        <f>VLOOKUP($D$7,Pricelist!$B$8:$H$21,5,FALSE)</f>
        <v>6145400</v>
      </c>
      <c r="E12" s="63" t="s">
        <v>38</v>
      </c>
      <c r="F12" s="63"/>
      <c r="G12" s="63"/>
      <c r="H12" s="63"/>
      <c r="I12" s="63"/>
    </row>
    <row r="13" spans="1:12" ht="13.8" x14ac:dyDescent="0.25">
      <c r="B13" s="67" t="s">
        <v>8</v>
      </c>
      <c r="C13" s="67"/>
      <c r="D13" s="72">
        <f>IF(D12&gt;3199200,D12*12%,0)</f>
        <v>737448</v>
      </c>
      <c r="E13" s="63"/>
      <c r="F13" s="63"/>
      <c r="G13" s="63"/>
      <c r="H13" s="63"/>
      <c r="I13" s="63"/>
    </row>
    <row r="14" spans="1:12" ht="13.8" x14ac:dyDescent="0.25">
      <c r="B14" s="67" t="s">
        <v>40</v>
      </c>
      <c r="C14" s="67"/>
      <c r="D14" s="111">
        <f>D12*6%</f>
        <v>368724</v>
      </c>
      <c r="E14" s="63"/>
      <c r="F14" s="63"/>
      <c r="G14" s="63"/>
      <c r="H14" s="63"/>
      <c r="I14" s="63"/>
    </row>
    <row r="15" spans="1:12" ht="13.8" x14ac:dyDescent="0.25">
      <c r="B15" s="70" t="s">
        <v>41</v>
      </c>
      <c r="C15" s="70"/>
      <c r="D15" s="112">
        <f>SUM(D12:D14)</f>
        <v>7251572</v>
      </c>
      <c r="E15" s="63"/>
      <c r="F15" s="63"/>
      <c r="G15" s="63"/>
      <c r="H15" s="63"/>
      <c r="I15" s="63"/>
    </row>
    <row r="16" spans="1:12" ht="13.8" x14ac:dyDescent="0.25">
      <c r="B16" s="70"/>
      <c r="C16" s="70"/>
      <c r="D16" s="71"/>
      <c r="E16" s="63"/>
      <c r="F16" s="63"/>
      <c r="G16" s="63"/>
      <c r="H16" s="63"/>
      <c r="I16" s="63"/>
    </row>
    <row r="17" spans="1:10" ht="13.8" x14ac:dyDescent="0.25">
      <c r="B17" s="113" t="s">
        <v>42</v>
      </c>
      <c r="C17" s="70"/>
      <c r="D17" s="71"/>
      <c r="E17" s="63"/>
      <c r="F17" s="63"/>
      <c r="G17" s="63"/>
      <c r="H17" s="63"/>
      <c r="I17" s="63"/>
    </row>
    <row r="18" spans="1:10" ht="3" customHeight="1" thickBot="1" x14ac:dyDescent="0.3">
      <c r="B18" s="114"/>
      <c r="C18" s="114"/>
      <c r="D18" s="115"/>
      <c r="E18" s="116"/>
      <c r="F18" s="116"/>
      <c r="G18" s="116"/>
      <c r="H18" s="116"/>
      <c r="I18" s="116"/>
    </row>
    <row r="19" spans="1:10" ht="14.4" thickTop="1" x14ac:dyDescent="0.25">
      <c r="B19" s="63"/>
      <c r="C19" s="63"/>
      <c r="D19" s="63"/>
      <c r="E19" s="63"/>
      <c r="F19" s="63"/>
      <c r="G19" s="63"/>
      <c r="H19" s="63"/>
      <c r="I19" s="63"/>
    </row>
    <row r="20" spans="1:10" s="118" customFormat="1" ht="22.2" customHeight="1" x14ac:dyDescent="0.3">
      <c r="A20" s="41" t="s">
        <v>43</v>
      </c>
      <c r="B20" s="203" t="s">
        <v>44</v>
      </c>
      <c r="C20" s="232">
        <v>30</v>
      </c>
      <c r="D20" s="215">
        <f>VLOOKUP(C20,'assumption for discount'!L4:M7,2,FALSE)</f>
        <v>4</v>
      </c>
      <c r="E20" s="117"/>
      <c r="F20" s="117"/>
      <c r="G20" s="117"/>
      <c r="H20" s="117"/>
      <c r="I20" s="117"/>
    </row>
    <row r="21" spans="1:10" ht="13.8" x14ac:dyDescent="0.25">
      <c r="B21" s="63" t="s">
        <v>39</v>
      </c>
      <c r="C21" s="63"/>
      <c r="D21" s="64">
        <f>$D$12</f>
        <v>6145400</v>
      </c>
      <c r="E21" s="63"/>
      <c r="F21" s="63"/>
      <c r="G21" s="63"/>
      <c r="H21" s="63"/>
      <c r="I21" s="63"/>
    </row>
    <row r="22" spans="1:10" ht="15.6" x14ac:dyDescent="0.25">
      <c r="B22" s="67" t="s">
        <v>45</v>
      </c>
      <c r="C22" s="214">
        <f>VLOOKUP(D4,'assumption for discount'!B16:G32,'Option 1&amp;2'!D20,FALSE)</f>
        <v>0.08</v>
      </c>
      <c r="D22" s="69">
        <f>-D21*C22</f>
        <v>-491632</v>
      </c>
      <c r="E22" s="63"/>
      <c r="F22" s="63"/>
      <c r="G22" s="63"/>
      <c r="H22" s="63"/>
      <c r="I22" s="63"/>
    </row>
    <row r="23" spans="1:10" ht="13.8" x14ac:dyDescent="0.25">
      <c r="B23" s="70" t="s">
        <v>46</v>
      </c>
      <c r="C23" s="70"/>
      <c r="D23" s="71">
        <f>SUM(D21:D22)</f>
        <v>5653768</v>
      </c>
      <c r="E23" s="67"/>
      <c r="F23" s="67"/>
      <c r="G23" s="67"/>
      <c r="H23" s="63"/>
      <c r="I23" s="63"/>
    </row>
    <row r="24" spans="1:10" ht="13.8" x14ac:dyDescent="0.25">
      <c r="B24" s="67" t="s">
        <v>47</v>
      </c>
      <c r="C24" s="68">
        <v>0.12</v>
      </c>
      <c r="D24" s="72">
        <f>IF(D23&gt;3199200,D23*12%,0)</f>
        <v>678452.16</v>
      </c>
      <c r="E24" s="67"/>
      <c r="F24" s="119"/>
      <c r="G24" s="67"/>
      <c r="H24" s="63"/>
      <c r="I24" s="63"/>
    </row>
    <row r="25" spans="1:10" ht="13.8" hidden="1" x14ac:dyDescent="0.25">
      <c r="B25" s="70" t="s">
        <v>48</v>
      </c>
      <c r="C25" s="70"/>
      <c r="D25" s="71">
        <f>SUM(D23:D24)</f>
        <v>6332220.1600000001</v>
      </c>
      <c r="E25" s="67"/>
      <c r="F25" s="67"/>
      <c r="G25" s="67"/>
      <c r="H25" s="63"/>
      <c r="I25" s="63"/>
    </row>
    <row r="26" spans="1:10" ht="13.8" x14ac:dyDescent="0.25">
      <c r="B26" s="120" t="s">
        <v>49</v>
      </c>
      <c r="C26" s="73">
        <v>0.06</v>
      </c>
      <c r="D26" s="78">
        <f>D23*C26</f>
        <v>339226.08</v>
      </c>
      <c r="E26" s="121"/>
      <c r="F26" s="121"/>
      <c r="G26" s="121"/>
      <c r="H26" s="63"/>
      <c r="J26" s="63"/>
    </row>
    <row r="27" spans="1:10" ht="13.8" x14ac:dyDescent="0.25">
      <c r="B27" s="70" t="s">
        <v>50</v>
      </c>
      <c r="C27" s="70"/>
      <c r="D27" s="71">
        <f>D23+D24+D26</f>
        <v>6671446.2400000002</v>
      </c>
      <c r="E27" s="70"/>
      <c r="F27" s="70"/>
      <c r="G27" s="70"/>
      <c r="H27" s="63"/>
      <c r="I27" s="63"/>
    </row>
    <row r="28" spans="1:10" ht="13.8" x14ac:dyDescent="0.25">
      <c r="B28" s="67" t="s">
        <v>51</v>
      </c>
      <c r="C28" s="67"/>
      <c r="D28" s="122">
        <v>50000</v>
      </c>
      <c r="E28" s="67"/>
      <c r="F28" s="67"/>
      <c r="G28" s="67"/>
      <c r="H28" s="63"/>
      <c r="I28" s="63"/>
    </row>
    <row r="29" spans="1:10" ht="13.8" x14ac:dyDescent="0.25">
      <c r="B29" s="67" t="s">
        <v>52</v>
      </c>
      <c r="C29" s="67"/>
      <c r="D29" s="78">
        <v>50000</v>
      </c>
      <c r="E29" s="67"/>
      <c r="F29" s="67"/>
      <c r="G29" s="67"/>
      <c r="H29" s="63"/>
      <c r="I29" s="63"/>
    </row>
    <row r="30" spans="1:10" ht="13.8" x14ac:dyDescent="0.25">
      <c r="B30" s="80" t="s">
        <v>53</v>
      </c>
      <c r="C30" s="63"/>
      <c r="D30" s="64">
        <f>D27-D28-D29</f>
        <v>6571446.2400000002</v>
      </c>
      <c r="E30" s="63"/>
      <c r="F30" s="63"/>
      <c r="G30" s="63"/>
      <c r="H30" s="63"/>
      <c r="I30" s="63"/>
    </row>
    <row r="31" spans="1:10" ht="13.8" x14ac:dyDescent="0.25">
      <c r="B31" s="63"/>
      <c r="C31" s="63"/>
      <c r="D31" s="63"/>
      <c r="E31" s="63"/>
      <c r="F31" s="63"/>
      <c r="G31" s="63"/>
      <c r="H31" s="63"/>
      <c r="I31" s="63"/>
    </row>
    <row r="32" spans="1:10" ht="13.8" x14ac:dyDescent="0.25">
      <c r="B32" s="63"/>
      <c r="C32" s="63"/>
      <c r="D32" s="63"/>
      <c r="E32" s="63"/>
      <c r="F32" s="63"/>
      <c r="G32" s="63"/>
      <c r="H32" s="63"/>
      <c r="I32" s="63"/>
    </row>
    <row r="33" spans="1:9" ht="31.2" customHeight="1" x14ac:dyDescent="0.25">
      <c r="A33" s="41" t="s">
        <v>43</v>
      </c>
      <c r="B33" s="225" t="s">
        <v>135</v>
      </c>
      <c r="C33" s="225"/>
      <c r="D33" s="225"/>
      <c r="E33" s="63"/>
      <c r="F33" s="63"/>
      <c r="G33" s="63"/>
      <c r="H33" s="63"/>
      <c r="I33" s="63"/>
    </row>
    <row r="34" spans="1:9" ht="13.8" x14ac:dyDescent="0.25">
      <c r="A34" s="43"/>
      <c r="B34" s="43" t="s">
        <v>39</v>
      </c>
      <c r="C34" s="43"/>
      <c r="D34" s="62">
        <f>D12</f>
        <v>6145400</v>
      </c>
      <c r="E34" s="63"/>
      <c r="F34" s="63"/>
      <c r="G34" s="63"/>
      <c r="H34" s="63"/>
      <c r="I34" s="63"/>
    </row>
    <row r="35" spans="1:9" ht="13.8" x14ac:dyDescent="0.25">
      <c r="A35" s="43"/>
      <c r="B35" s="44" t="s">
        <v>54</v>
      </c>
      <c r="C35" s="230">
        <v>1.4999999999999999E-2</v>
      </c>
      <c r="D35" s="66">
        <f>-D34*C35</f>
        <v>-92181</v>
      </c>
      <c r="E35" s="63"/>
      <c r="F35" s="63"/>
      <c r="G35" s="63"/>
      <c r="H35" s="63"/>
      <c r="I35" s="63"/>
    </row>
    <row r="36" spans="1:9" ht="13.8" x14ac:dyDescent="0.25">
      <c r="A36" s="43"/>
      <c r="B36" s="50" t="s">
        <v>46</v>
      </c>
      <c r="C36" s="50"/>
      <c r="D36" s="56">
        <f>SUM(D34:D35)</f>
        <v>6053219</v>
      </c>
      <c r="E36" s="63"/>
      <c r="F36" s="63"/>
      <c r="G36" s="63"/>
      <c r="H36" s="63"/>
      <c r="I36" s="63"/>
    </row>
    <row r="37" spans="1:9" ht="13.8" x14ac:dyDescent="0.25">
      <c r="A37" s="43"/>
      <c r="B37" s="44" t="s">
        <v>47</v>
      </c>
      <c r="C37" s="65">
        <v>0.12</v>
      </c>
      <c r="D37" s="52">
        <f>IF(D36&gt;3199200,D36*12%,0)</f>
        <v>726386.28</v>
      </c>
      <c r="E37" s="63"/>
      <c r="F37" s="63"/>
      <c r="G37" s="63"/>
      <c r="H37" s="63"/>
      <c r="I37" s="63"/>
    </row>
    <row r="38" spans="1:9" ht="13.8" x14ac:dyDescent="0.25">
      <c r="A38" s="43"/>
      <c r="B38" s="53" t="str">
        <f>B26</f>
        <v>Titling and Miscellaneous Fees</v>
      </c>
      <c r="C38" s="73">
        <v>0.06</v>
      </c>
      <c r="D38" s="74">
        <f>D36*C38</f>
        <v>363193.14</v>
      </c>
      <c r="E38" s="63"/>
      <c r="F38" s="63"/>
      <c r="G38" s="63"/>
      <c r="H38" s="63"/>
      <c r="I38" s="63"/>
    </row>
    <row r="39" spans="1:9" ht="13.8" x14ac:dyDescent="0.25">
      <c r="A39" s="43"/>
      <c r="B39" s="50" t="s">
        <v>55</v>
      </c>
      <c r="C39" s="50"/>
      <c r="D39" s="56">
        <f>SUM(D36:D38)</f>
        <v>7142798.4199999999</v>
      </c>
      <c r="E39" s="63"/>
      <c r="F39" s="63"/>
      <c r="G39" s="63"/>
      <c r="H39" s="63"/>
      <c r="I39" s="63"/>
    </row>
    <row r="40" spans="1:9" ht="13.8" x14ac:dyDescent="0.25">
      <c r="A40" s="43"/>
      <c r="B40" s="43"/>
      <c r="C40" s="43"/>
      <c r="D40" s="43"/>
      <c r="E40" s="63"/>
      <c r="F40" s="63"/>
      <c r="G40" s="63"/>
      <c r="H40" s="63"/>
      <c r="I40" s="63"/>
    </row>
    <row r="41" spans="1:9" ht="13.8" x14ac:dyDescent="0.25">
      <c r="A41" s="43"/>
      <c r="B41" s="75">
        <v>0.2</v>
      </c>
      <c r="C41" s="43"/>
      <c r="D41" s="123">
        <f>D39*B41</f>
        <v>1428559.6840000001</v>
      </c>
      <c r="E41" s="63"/>
      <c r="F41" s="63"/>
      <c r="G41" s="63"/>
      <c r="H41" s="63"/>
      <c r="I41" s="63"/>
    </row>
    <row r="42" spans="1:9" ht="13.8" hidden="1" x14ac:dyDescent="0.25">
      <c r="A42" s="43"/>
      <c r="B42" s="75" t="s">
        <v>54</v>
      </c>
      <c r="C42" s="43"/>
      <c r="D42" s="76"/>
      <c r="E42" s="63"/>
      <c r="F42" s="63"/>
      <c r="G42" s="63"/>
      <c r="H42" s="63"/>
      <c r="I42" s="63"/>
    </row>
    <row r="43" spans="1:9" ht="13.8" x14ac:dyDescent="0.25">
      <c r="A43" s="43"/>
      <c r="B43" s="43" t="s">
        <v>52</v>
      </c>
      <c r="C43" s="43"/>
      <c r="D43" s="77">
        <f>-D29</f>
        <v>-50000</v>
      </c>
      <c r="E43" s="63"/>
      <c r="F43" s="63"/>
      <c r="G43" s="63"/>
      <c r="H43" s="63"/>
      <c r="I43" s="63"/>
    </row>
    <row r="44" spans="1:9" ht="13.8" x14ac:dyDescent="0.25">
      <c r="A44" s="43"/>
      <c r="B44" s="79" t="s">
        <v>56</v>
      </c>
      <c r="C44" s="79"/>
      <c r="D44" s="62">
        <f>SUM(D41:D43)</f>
        <v>1378559.6840000001</v>
      </c>
      <c r="E44" s="63"/>
      <c r="F44" s="63"/>
      <c r="G44" s="63"/>
      <c r="H44" s="63"/>
      <c r="I44" s="63"/>
    </row>
    <row r="45" spans="1:9" ht="13.8" x14ac:dyDescent="0.25">
      <c r="A45" s="43"/>
      <c r="B45" s="43"/>
      <c r="C45" s="43"/>
      <c r="D45" s="43"/>
      <c r="E45" s="63"/>
      <c r="F45" s="63"/>
      <c r="G45" s="63"/>
      <c r="H45" s="63"/>
      <c r="I45" s="63"/>
    </row>
    <row r="46" spans="1:9" ht="13.8" x14ac:dyDescent="0.25">
      <c r="A46" s="43"/>
      <c r="B46" s="79" t="s">
        <v>57</v>
      </c>
      <c r="C46" s="43"/>
      <c r="D46" s="81">
        <f>D44</f>
        <v>1378559.6840000001</v>
      </c>
      <c r="E46" s="63"/>
      <c r="F46" s="63"/>
      <c r="G46" s="63"/>
      <c r="H46" s="63"/>
      <c r="I46" s="63"/>
    </row>
    <row r="47" spans="1:9" ht="13.8" x14ac:dyDescent="0.25">
      <c r="A47" s="43"/>
      <c r="B47" s="43"/>
      <c r="C47" s="43"/>
      <c r="D47" s="43"/>
      <c r="E47" s="63"/>
      <c r="F47" s="63"/>
      <c r="G47" s="63"/>
      <c r="H47" s="63"/>
      <c r="I47" s="63"/>
    </row>
    <row r="48" spans="1:9" ht="13.8" x14ac:dyDescent="0.25">
      <c r="A48" s="43"/>
      <c r="B48" s="84">
        <f>1-B41</f>
        <v>0.8</v>
      </c>
      <c r="C48" s="79"/>
      <c r="D48" s="85">
        <f>D39*B48</f>
        <v>5714238.7360000005</v>
      </c>
      <c r="E48" s="63"/>
      <c r="F48" s="182"/>
      <c r="G48" s="63"/>
      <c r="H48" s="63"/>
      <c r="I48" s="63"/>
    </row>
    <row r="49" spans="1:9" ht="13.8" x14ac:dyDescent="0.25">
      <c r="A49" s="43"/>
      <c r="B49" s="86">
        <v>5</v>
      </c>
      <c r="C49" s="87">
        <v>0.1</v>
      </c>
      <c r="D49" s="88">
        <f>-PMT(C49/12,B49*12,$D$48)</f>
        <v>121410.68591465314</v>
      </c>
      <c r="E49" s="63"/>
      <c r="F49" s="63"/>
      <c r="G49" s="63"/>
      <c r="H49" s="63"/>
      <c r="I49" s="63"/>
    </row>
    <row r="50" spans="1:9" ht="13.8" x14ac:dyDescent="0.25">
      <c r="A50" s="43"/>
      <c r="B50" s="86">
        <v>10</v>
      </c>
      <c r="C50" s="87">
        <f>C49</f>
        <v>0.1</v>
      </c>
      <c r="D50" s="88">
        <f t="shared" ref="D50:D52" si="0">-PMT(C50/12,B50*12,$D$48)</f>
        <v>75514.085968070634</v>
      </c>
      <c r="E50" s="63"/>
      <c r="F50" s="63"/>
      <c r="G50" s="63"/>
      <c r="H50" s="63"/>
      <c r="I50" s="63"/>
    </row>
    <row r="51" spans="1:9" ht="13.8" x14ac:dyDescent="0.25">
      <c r="A51" s="43"/>
      <c r="B51" s="86">
        <v>15</v>
      </c>
      <c r="C51" s="87">
        <f t="shared" ref="C51:C52" si="1">C50</f>
        <v>0.1</v>
      </c>
      <c r="D51" s="88">
        <f t="shared" si="0"/>
        <v>61405.501895115573</v>
      </c>
      <c r="E51" s="63"/>
      <c r="F51" s="63"/>
      <c r="G51" s="63"/>
      <c r="H51" s="63"/>
      <c r="I51" s="63"/>
    </row>
    <row r="52" spans="1:9" ht="13.8" x14ac:dyDescent="0.25">
      <c r="A52" s="43"/>
      <c r="B52" s="86">
        <v>20</v>
      </c>
      <c r="C52" s="87">
        <f t="shared" si="1"/>
        <v>0.1</v>
      </c>
      <c r="D52" s="88">
        <f t="shared" si="0"/>
        <v>55143.640653603397</v>
      </c>
      <c r="E52" s="63"/>
      <c r="F52" s="63"/>
      <c r="G52" s="63"/>
      <c r="H52" s="63"/>
      <c r="I52" s="63"/>
    </row>
    <row r="53" spans="1:9" ht="13.8" x14ac:dyDescent="0.25">
      <c r="A53" s="43"/>
      <c r="B53" s="43"/>
      <c r="C53" s="91"/>
      <c r="D53" s="92"/>
      <c r="E53" s="63"/>
      <c r="F53" s="63"/>
      <c r="G53" s="63"/>
      <c r="H53" s="63"/>
      <c r="I53" s="63"/>
    </row>
    <row r="54" spans="1:9" ht="13.8" x14ac:dyDescent="0.25">
      <c r="A54" s="43"/>
      <c r="B54" s="93" t="s">
        <v>58</v>
      </c>
      <c r="C54" s="91"/>
      <c r="D54" s="92"/>
      <c r="E54" s="63"/>
      <c r="F54" s="63"/>
      <c r="G54" s="63"/>
      <c r="H54" s="63"/>
      <c r="I54" s="63"/>
    </row>
    <row r="55" spans="1:9" ht="13.8" x14ac:dyDescent="0.25">
      <c r="A55" s="43"/>
      <c r="B55" s="94">
        <v>5</v>
      </c>
      <c r="C55" s="95">
        <v>0.12</v>
      </c>
      <c r="D55" s="88">
        <f>-PMT(C55/12,B55*12,$D$48)</f>
        <v>127110.08462199123</v>
      </c>
      <c r="E55" s="63"/>
      <c r="F55" s="63"/>
      <c r="G55" s="63"/>
      <c r="H55" s="63"/>
      <c r="I55" s="63"/>
    </row>
    <row r="56" spans="1:9" ht="13.8" x14ac:dyDescent="0.25">
      <c r="A56" s="43"/>
      <c r="B56" s="94">
        <v>8</v>
      </c>
      <c r="C56" s="95">
        <v>0.15</v>
      </c>
      <c r="D56" s="88">
        <f t="shared" ref="D56:D57" si="2">-PMT(C56/12,B56*12,$D$48)</f>
        <v>102544.33015588402</v>
      </c>
      <c r="E56" s="63"/>
      <c r="F56" s="63"/>
      <c r="G56" s="63"/>
      <c r="H56" s="63"/>
      <c r="I56" s="63"/>
    </row>
    <row r="57" spans="1:9" ht="13.8" x14ac:dyDescent="0.25">
      <c r="A57" s="43"/>
      <c r="B57" s="94">
        <v>10</v>
      </c>
      <c r="C57" s="95">
        <v>0.15</v>
      </c>
      <c r="D57" s="88">
        <f t="shared" si="2"/>
        <v>92190.646118495133</v>
      </c>
      <c r="E57" s="63"/>
      <c r="F57" s="124" t="s">
        <v>59</v>
      </c>
      <c r="G57" s="63"/>
      <c r="H57" s="63"/>
      <c r="I57" s="63"/>
    </row>
    <row r="58" spans="1:9" ht="13.8" x14ac:dyDescent="0.25">
      <c r="B58" s="63" t="s">
        <v>60</v>
      </c>
      <c r="C58" s="63"/>
      <c r="D58" s="63"/>
      <c r="E58" s="63"/>
      <c r="F58" s="63"/>
      <c r="G58" s="63"/>
      <c r="H58" s="63"/>
      <c r="I58" s="63"/>
    </row>
    <row r="59" spans="1:9" ht="13.8" x14ac:dyDescent="0.25">
      <c r="B59" s="80" t="s">
        <v>61</v>
      </c>
      <c r="C59" s="63"/>
      <c r="D59" s="63"/>
      <c r="E59" s="63"/>
      <c r="F59" s="63"/>
      <c r="G59" s="63"/>
      <c r="H59" s="63"/>
      <c r="I59" s="63"/>
    </row>
    <row r="60" spans="1:9" ht="13.8" x14ac:dyDescent="0.25">
      <c r="B60" s="63" t="s">
        <v>62</v>
      </c>
      <c r="C60" s="63"/>
      <c r="D60" s="63"/>
      <c r="E60" s="63"/>
      <c r="F60" s="63"/>
      <c r="G60" s="63"/>
      <c r="H60" s="63"/>
      <c r="I60" s="63"/>
    </row>
    <row r="61" spans="1:9" ht="13.8" x14ac:dyDescent="0.25">
      <c r="B61" s="63" t="s">
        <v>63</v>
      </c>
      <c r="C61" s="63"/>
      <c r="D61" s="63"/>
      <c r="E61" s="63"/>
      <c r="F61" s="63"/>
      <c r="G61" s="63"/>
      <c r="H61" s="63"/>
      <c r="I61" s="63"/>
    </row>
    <row r="62" spans="1:9" ht="13.8" x14ac:dyDescent="0.25">
      <c r="B62" s="125" t="s">
        <v>64</v>
      </c>
      <c r="C62" s="63"/>
      <c r="D62" s="63"/>
      <c r="E62" s="63"/>
      <c r="F62" s="63"/>
      <c r="G62" s="63"/>
      <c r="H62" s="63"/>
      <c r="I62" s="63"/>
    </row>
    <row r="63" spans="1:9" ht="13.8" x14ac:dyDescent="0.25">
      <c r="B63" s="63" t="s">
        <v>65</v>
      </c>
      <c r="C63" s="63"/>
      <c r="D63" s="63"/>
      <c r="E63" s="63"/>
      <c r="F63" s="63"/>
      <c r="G63" s="63"/>
      <c r="H63" s="63"/>
      <c r="I63" s="63"/>
    </row>
    <row r="64" spans="1:9" ht="13.8" x14ac:dyDescent="0.25">
      <c r="B64" s="63"/>
      <c r="C64" s="63"/>
      <c r="D64" s="63"/>
      <c r="E64" s="63"/>
      <c r="F64" s="63"/>
      <c r="G64" s="63"/>
      <c r="H64" s="63"/>
      <c r="I64" s="63"/>
    </row>
    <row r="65" spans="2:9" ht="13.8" x14ac:dyDescent="0.25">
      <c r="B65" s="63"/>
      <c r="C65" s="63"/>
      <c r="D65" s="63"/>
      <c r="E65" s="63"/>
      <c r="F65" s="63"/>
      <c r="G65" s="63"/>
      <c r="H65" s="63"/>
      <c r="I65" s="63"/>
    </row>
    <row r="66" spans="2:9" ht="13.8" x14ac:dyDescent="0.25">
      <c r="B66" s="63"/>
      <c r="C66" s="63"/>
      <c r="D66" s="63"/>
      <c r="E66" s="63"/>
      <c r="F66" s="63"/>
      <c r="G66" s="63"/>
      <c r="H66" s="63"/>
      <c r="I66" s="63"/>
    </row>
    <row r="67" spans="2:9" ht="13.8" x14ac:dyDescent="0.25">
      <c r="B67" s="98"/>
      <c r="C67" s="98"/>
      <c r="D67" s="63"/>
      <c r="E67" s="98"/>
      <c r="F67" s="98"/>
      <c r="G67" s="98"/>
      <c r="H67" s="98"/>
      <c r="I67" s="63"/>
    </row>
    <row r="68" spans="2:9" s="126" customFormat="1" ht="15.6" customHeight="1" x14ac:dyDescent="0.25">
      <c r="B68" s="80" t="s">
        <v>66</v>
      </c>
      <c r="C68" s="80"/>
      <c r="D68" s="100"/>
      <c r="E68" s="101" t="s">
        <v>67</v>
      </c>
      <c r="F68" s="80"/>
      <c r="G68" s="100"/>
      <c r="H68" s="100"/>
      <c r="I68" s="100"/>
    </row>
    <row r="69" spans="2:9" s="126" customFormat="1" ht="15.6" customHeight="1" x14ac:dyDescent="0.25">
      <c r="B69" s="80"/>
      <c r="C69" s="80"/>
      <c r="D69" s="100"/>
      <c r="E69" s="100"/>
      <c r="F69" s="101"/>
      <c r="G69" s="100"/>
      <c r="H69" s="100"/>
      <c r="I69" s="100"/>
    </row>
    <row r="70" spans="2:9" ht="13.8" x14ac:dyDescent="0.25">
      <c r="B70" s="63"/>
      <c r="C70" s="63"/>
      <c r="D70" s="63"/>
      <c r="E70" s="63"/>
      <c r="F70" s="63"/>
      <c r="G70" s="63"/>
      <c r="H70" s="63"/>
      <c r="I70" s="63"/>
    </row>
    <row r="71" spans="2:9" ht="13.8" x14ac:dyDescent="0.25">
      <c r="B71" s="98"/>
      <c r="C71" s="63"/>
      <c r="D71" s="63"/>
      <c r="E71" s="98"/>
      <c r="F71" s="98"/>
      <c r="G71" s="98"/>
      <c r="H71" s="63"/>
      <c r="I71" s="63"/>
    </row>
    <row r="72" spans="2:9" ht="13.8" x14ac:dyDescent="0.25">
      <c r="B72" s="80" t="s">
        <v>68</v>
      </c>
      <c r="C72" s="102"/>
      <c r="D72" s="102"/>
      <c r="E72" s="127" t="s">
        <v>69</v>
      </c>
      <c r="F72" s="127"/>
      <c r="G72" s="102"/>
      <c r="H72" s="102"/>
      <c r="I72" s="102"/>
    </row>
    <row r="73" spans="2:9" x14ac:dyDescent="0.25">
      <c r="C73" s="226"/>
      <c r="D73" s="226"/>
      <c r="E73" s="226"/>
      <c r="F73" s="226"/>
      <c r="I73" s="128" t="s">
        <v>70</v>
      </c>
    </row>
  </sheetData>
  <sheetProtection algorithmName="SHA-512" hashValue="/iDvtw2KN99zs4OSbUpKUYFMsEyrOLpsd2vcSpGYSa7a8tj5ClGn/U8p+DGlWsB2SXyd4DpAzJdWv9I4QwgBww==" saltValue="56GJYZshNr1/z5R/7EqNdg==" spinCount="100000" sheet="1" objects="1" scenarios="1"/>
  <protectedRanges>
    <protectedRange sqref="C20" name="Range3"/>
    <protectedRange sqref="D4 D7" name="Range2"/>
  </protectedRanges>
  <mergeCells count="3">
    <mergeCell ref="A1:I2"/>
    <mergeCell ref="B33:D33"/>
    <mergeCell ref="C73:F73"/>
  </mergeCells>
  <dataValidations disablePrompts="1" count="1">
    <dataValidation type="list" allowBlank="1" showInputMessage="1" showErrorMessage="1" sqref="C20">
      <formula1>$L$3:$L$5</formula1>
    </dataValidation>
  </dataValidations>
  <pageMargins left="0.7" right="0.7" top="0.75" bottom="0.75" header="0.3" footer="0.3"/>
  <pageSetup scale="68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Pricelist!$B$8:$B$21</xm:f>
          </x14:formula1>
          <xm:sqref>D7</xm:sqref>
        </x14:dataValidation>
        <x14:dataValidation type="list" allowBlank="1" showInputMessage="1" showErrorMessage="1">
          <x14:formula1>
            <xm:f>'Base Price'!$P$20:$P$37</xm:f>
          </x14:formula1>
          <xm:sqref>D4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I60"/>
  <sheetViews>
    <sheetView topLeftCell="A7" workbookViewId="0">
      <selection activeCell="N23" sqref="N23"/>
    </sheetView>
  </sheetViews>
  <sheetFormatPr defaultRowHeight="13.8" x14ac:dyDescent="0.25"/>
  <cols>
    <col min="1" max="1" width="5.109375" style="43" bestFit="1" customWidth="1"/>
    <col min="2" max="2" width="28" style="43" customWidth="1"/>
    <col min="3" max="3" width="10.88671875" style="43" bestFit="1" customWidth="1"/>
    <col min="4" max="4" width="14.21875" style="43" customWidth="1"/>
    <col min="5" max="5" width="5.88671875" style="43" customWidth="1"/>
    <col min="6" max="6" width="5.109375" style="43" bestFit="1" customWidth="1"/>
    <col min="7" max="7" width="31.109375" style="43" customWidth="1"/>
    <col min="8" max="8" width="11.33203125" style="43" customWidth="1"/>
    <col min="9" max="9" width="12.33203125" style="43" bestFit="1" customWidth="1"/>
    <col min="10" max="16384" width="8.88671875" style="43"/>
  </cols>
  <sheetData>
    <row r="1" spans="1:9" ht="13.2" customHeight="1" x14ac:dyDescent="0.25">
      <c r="A1" s="227" t="s">
        <v>33</v>
      </c>
      <c r="B1" s="227"/>
      <c r="C1" s="227"/>
      <c r="D1" s="227"/>
      <c r="E1" s="227"/>
      <c r="F1" s="227"/>
      <c r="G1" s="227"/>
      <c r="H1" s="227"/>
      <c r="I1" s="227"/>
    </row>
    <row r="2" spans="1:9" ht="13.2" customHeight="1" x14ac:dyDescent="0.25">
      <c r="A2" s="227"/>
      <c r="B2" s="227"/>
      <c r="C2" s="227"/>
      <c r="D2" s="227"/>
      <c r="E2" s="227"/>
      <c r="F2" s="227"/>
      <c r="G2" s="227"/>
      <c r="H2" s="227"/>
      <c r="I2" s="227"/>
    </row>
    <row r="4" spans="1:9" x14ac:dyDescent="0.25">
      <c r="B4" s="44" t="s">
        <v>34</v>
      </c>
      <c r="C4" s="44"/>
      <c r="D4" s="45">
        <f>'Option 1&amp;2'!D4</f>
        <v>44166</v>
      </c>
    </row>
    <row r="5" spans="1:9" x14ac:dyDescent="0.25">
      <c r="B5" s="44"/>
      <c r="C5" s="44"/>
      <c r="D5" s="44"/>
      <c r="E5" s="44"/>
      <c r="F5" s="44"/>
    </row>
    <row r="6" spans="1:9" ht="15" x14ac:dyDescent="0.25">
      <c r="B6" s="44" t="s">
        <v>35</v>
      </c>
      <c r="C6" s="44"/>
      <c r="D6" s="46" t="str">
        <f>'Option 1&amp;2'!D6</f>
        <v>2 Torre</v>
      </c>
      <c r="E6" s="44"/>
      <c r="F6" s="44"/>
    </row>
    <row r="7" spans="1:9" x14ac:dyDescent="0.25">
      <c r="B7" s="50" t="s">
        <v>3</v>
      </c>
      <c r="C7" s="44"/>
      <c r="D7" s="137">
        <f>'Option 1&amp;2'!D7</f>
        <v>618</v>
      </c>
    </row>
    <row r="8" spans="1:9" hidden="1" x14ac:dyDescent="0.25">
      <c r="B8" s="44" t="s">
        <v>3</v>
      </c>
      <c r="C8" s="44"/>
      <c r="D8" s="47">
        <f>'Option 1&amp;2'!D8</f>
        <v>618</v>
      </c>
      <c r="E8" s="48"/>
    </row>
    <row r="9" spans="1:9" x14ac:dyDescent="0.25">
      <c r="B9" s="44" t="s">
        <v>36</v>
      </c>
      <c r="C9" s="44"/>
      <c r="D9" s="49" t="str">
        <f>'Option 1&amp;2'!D9</f>
        <v>Studio</v>
      </c>
    </row>
    <row r="10" spans="1:9" x14ac:dyDescent="0.25">
      <c r="B10" s="44" t="s">
        <v>37</v>
      </c>
      <c r="C10" s="44"/>
      <c r="D10" s="49">
        <f>'Option 1&amp;2'!D10</f>
        <v>31.68</v>
      </c>
      <c r="E10" s="43" t="s">
        <v>38</v>
      </c>
    </row>
    <row r="11" spans="1:9" x14ac:dyDescent="0.25">
      <c r="B11" s="44"/>
      <c r="C11" s="44"/>
      <c r="D11" s="49"/>
    </row>
    <row r="12" spans="1:9" x14ac:dyDescent="0.25">
      <c r="B12" s="50" t="s">
        <v>39</v>
      </c>
      <c r="C12" s="50"/>
      <c r="D12" s="51">
        <f>'Option 1&amp;2'!D12</f>
        <v>6145400</v>
      </c>
      <c r="E12" s="43" t="s">
        <v>38</v>
      </c>
    </row>
    <row r="13" spans="1:9" x14ac:dyDescent="0.25">
      <c r="B13" s="44" t="s">
        <v>8</v>
      </c>
      <c r="C13" s="44"/>
      <c r="D13" s="52">
        <f>'Option 1&amp;2'!D13</f>
        <v>737448</v>
      </c>
    </row>
    <row r="14" spans="1:9" x14ac:dyDescent="0.25">
      <c r="B14" s="53" t="s">
        <v>49</v>
      </c>
      <c r="C14" s="44"/>
      <c r="D14" s="54">
        <f>'Option 1&amp;2'!D14</f>
        <v>368724</v>
      </c>
    </row>
    <row r="15" spans="1:9" x14ac:dyDescent="0.25">
      <c r="B15" s="50" t="s">
        <v>41</v>
      </c>
      <c r="C15" s="50"/>
      <c r="D15" s="55">
        <f>SUM(D12:D14)</f>
        <v>7251572</v>
      </c>
    </row>
    <row r="16" spans="1:9" x14ac:dyDescent="0.25">
      <c r="B16" s="50"/>
      <c r="C16" s="50"/>
      <c r="D16" s="56"/>
    </row>
    <row r="17" spans="1:9" x14ac:dyDescent="0.25">
      <c r="B17" s="57" t="s">
        <v>42</v>
      </c>
      <c r="C17" s="50"/>
      <c r="D17" s="56"/>
    </row>
    <row r="18" spans="1:9" ht="2.4" customHeight="1" thickBot="1" x14ac:dyDescent="0.3">
      <c r="B18" s="58"/>
      <c r="C18" s="58"/>
      <c r="D18" s="59"/>
      <c r="E18" s="60"/>
      <c r="F18" s="60"/>
      <c r="G18" s="60"/>
      <c r="H18" s="60"/>
      <c r="I18" s="60"/>
    </row>
    <row r="19" spans="1:9" ht="14.4" thickTop="1" x14ac:dyDescent="0.25"/>
    <row r="20" spans="1:9" s="61" customFormat="1" ht="31.8" customHeight="1" x14ac:dyDescent="0.3">
      <c r="A20" s="41" t="s">
        <v>43</v>
      </c>
      <c r="B20" s="228" t="s">
        <v>71</v>
      </c>
      <c r="C20" s="228"/>
      <c r="D20" s="228"/>
      <c r="F20" s="41" t="s">
        <v>43</v>
      </c>
      <c r="G20" s="229" t="s">
        <v>72</v>
      </c>
      <c r="H20" s="229"/>
      <c r="I20" s="229"/>
    </row>
    <row r="21" spans="1:9" x14ac:dyDescent="0.25">
      <c r="B21" s="43" t="s">
        <v>39</v>
      </c>
      <c r="D21" s="62">
        <f>D12</f>
        <v>6145400</v>
      </c>
      <c r="F21" s="63"/>
      <c r="G21" s="63" t="s">
        <v>39</v>
      </c>
      <c r="H21" s="63"/>
      <c r="I21" s="64">
        <f>$D$12</f>
        <v>6145400</v>
      </c>
    </row>
    <row r="22" spans="1:9" x14ac:dyDescent="0.25">
      <c r="B22" s="44" t="s">
        <v>73</v>
      </c>
      <c r="C22" s="65"/>
      <c r="D22" s="66">
        <f>-D21*C22</f>
        <v>0</v>
      </c>
      <c r="F22" s="63"/>
      <c r="G22" s="67" t="s">
        <v>73</v>
      </c>
      <c r="H22" s="233">
        <v>2.5000000000000001E-2</v>
      </c>
      <c r="I22" s="69">
        <f>-I21*H22</f>
        <v>-153635</v>
      </c>
    </row>
    <row r="23" spans="1:9" x14ac:dyDescent="0.25">
      <c r="B23" s="50" t="s">
        <v>46</v>
      </c>
      <c r="C23" s="50"/>
      <c r="D23" s="56">
        <f>SUM(D21:D22)</f>
        <v>6145400</v>
      </c>
      <c r="F23" s="63"/>
      <c r="G23" s="70" t="s">
        <v>46</v>
      </c>
      <c r="H23" s="70"/>
      <c r="I23" s="71">
        <f>SUM(I21:I22)</f>
        <v>5991765</v>
      </c>
    </row>
    <row r="24" spans="1:9" x14ac:dyDescent="0.25">
      <c r="B24" s="44" t="s">
        <v>47</v>
      </c>
      <c r="C24" s="65">
        <v>0.12</v>
      </c>
      <c r="D24" s="52">
        <f>ROUND(IF(D23&gt;3199200,D23*12%,0),-2)</f>
        <v>737400</v>
      </c>
      <c r="F24" s="63"/>
      <c r="G24" s="67" t="s">
        <v>47</v>
      </c>
      <c r="H24" s="68">
        <v>0.12</v>
      </c>
      <c r="I24" s="72">
        <f>ROUND(IF(I23&gt;3199200,I23*12%,0),-2)</f>
        <v>719000</v>
      </c>
    </row>
    <row r="25" spans="1:9" x14ac:dyDescent="0.25">
      <c r="B25" s="53" t="str">
        <f>'[2]Option 1 and 2'!B26</f>
        <v>Titling and Miscellaneous Fees</v>
      </c>
      <c r="C25" s="73">
        <v>0.06</v>
      </c>
      <c r="D25" s="74">
        <f>D14</f>
        <v>368724</v>
      </c>
      <c r="F25" s="63"/>
      <c r="G25" s="53" t="str">
        <f>B25</f>
        <v>Titling and Miscellaneous Fees</v>
      </c>
      <c r="H25" s="73">
        <v>0.06</v>
      </c>
      <c r="I25" s="231">
        <f>I23*6%</f>
        <v>359505.89999999997</v>
      </c>
    </row>
    <row r="26" spans="1:9" x14ac:dyDescent="0.25">
      <c r="B26" s="50" t="s">
        <v>55</v>
      </c>
      <c r="C26" s="50"/>
      <c r="D26" s="56">
        <f>SUM(D23:D25)</f>
        <v>7251524</v>
      </c>
      <c r="F26" s="63"/>
      <c r="G26" s="70" t="s">
        <v>55</v>
      </c>
      <c r="H26" s="70"/>
      <c r="I26" s="71">
        <f>SUM(I23:I25)</f>
        <v>7070270.9000000004</v>
      </c>
    </row>
    <row r="27" spans="1:9" x14ac:dyDescent="0.25">
      <c r="F27" s="63"/>
    </row>
    <row r="28" spans="1:9" x14ac:dyDescent="0.25">
      <c r="B28" s="75">
        <v>0.2</v>
      </c>
      <c r="D28" s="76">
        <f>D26*B28</f>
        <v>1450304.8</v>
      </c>
      <c r="F28" s="63"/>
    </row>
    <row r="29" spans="1:9" x14ac:dyDescent="0.25">
      <c r="B29" s="75" t="s">
        <v>74</v>
      </c>
      <c r="D29" s="76"/>
      <c r="F29" s="63"/>
      <c r="G29" s="63"/>
      <c r="H29" s="63"/>
      <c r="I29" s="63"/>
    </row>
    <row r="30" spans="1:9" x14ac:dyDescent="0.25">
      <c r="B30" s="43" t="s">
        <v>52</v>
      </c>
      <c r="D30" s="77">
        <f>I30</f>
        <v>-50000</v>
      </c>
      <c r="F30" s="63"/>
      <c r="G30" s="43" t="s">
        <v>52</v>
      </c>
      <c r="H30" s="67"/>
      <c r="I30" s="78">
        <v>-50000</v>
      </c>
    </row>
    <row r="31" spans="1:9" x14ac:dyDescent="0.25">
      <c r="B31" s="79" t="s">
        <v>75</v>
      </c>
      <c r="C31" s="79"/>
      <c r="D31" s="62">
        <f>SUM(D28:D30)</f>
        <v>1400304.8</v>
      </c>
      <c r="G31" s="80" t="s">
        <v>53</v>
      </c>
      <c r="H31" s="63"/>
      <c r="I31" s="64">
        <f>SUM(I26:I30)</f>
        <v>7020270.9000000004</v>
      </c>
    </row>
    <row r="33" spans="2:9" x14ac:dyDescent="0.25">
      <c r="B33" s="79" t="s">
        <v>76</v>
      </c>
      <c r="C33" s="42">
        <v>6</v>
      </c>
      <c r="D33" s="81">
        <f>D31/C33</f>
        <v>233384.13333333333</v>
      </c>
      <c r="G33" s="80" t="s">
        <v>76</v>
      </c>
      <c r="H33" s="82">
        <f>C33</f>
        <v>6</v>
      </c>
      <c r="I33" s="83">
        <f>I31/H33</f>
        <v>1170045.1500000001</v>
      </c>
    </row>
    <row r="35" spans="2:9" x14ac:dyDescent="0.25">
      <c r="B35" s="84">
        <f>1-B28</f>
        <v>0.8</v>
      </c>
      <c r="C35" s="79"/>
      <c r="D35" s="62">
        <f>D26*B35</f>
        <v>5801219.2000000002</v>
      </c>
      <c r="G35" s="84"/>
      <c r="H35" s="79"/>
      <c r="I35" s="85"/>
    </row>
    <row r="36" spans="2:9" x14ac:dyDescent="0.25">
      <c r="B36" s="86">
        <v>5</v>
      </c>
      <c r="C36" s="87">
        <f>'Option 1&amp;2'!C49</f>
        <v>0.1</v>
      </c>
      <c r="D36" s="88">
        <f>-PMT(C36/12,B36*12,$D$35)</f>
        <v>123258.76372226798</v>
      </c>
      <c r="G36" s="86"/>
      <c r="H36" s="89"/>
      <c r="I36" s="88"/>
    </row>
    <row r="37" spans="2:9" x14ac:dyDescent="0.25">
      <c r="B37" s="86">
        <v>10</v>
      </c>
      <c r="C37" s="87">
        <f>'Option 1&amp;2'!C50</f>
        <v>0.1</v>
      </c>
      <c r="D37" s="88">
        <f t="shared" ref="D37:D39" si="0">-PMT(C37/12,B37*12,$D$35)</f>
        <v>76663.539209262395</v>
      </c>
      <c r="E37" s="90"/>
      <c r="G37" s="86"/>
      <c r="I37" s="88"/>
    </row>
    <row r="38" spans="2:9" x14ac:dyDescent="0.25">
      <c r="B38" s="86">
        <v>15</v>
      </c>
      <c r="C38" s="87">
        <f>'Option 1&amp;2'!C51</f>
        <v>0.1</v>
      </c>
      <c r="D38" s="88">
        <f t="shared" si="0"/>
        <v>62340.198412665835</v>
      </c>
      <c r="E38" s="90"/>
      <c r="G38" s="86"/>
      <c r="I38" s="88"/>
    </row>
    <row r="39" spans="2:9" x14ac:dyDescent="0.25">
      <c r="B39" s="86">
        <v>20</v>
      </c>
      <c r="C39" s="87">
        <f>'Option 1&amp;2'!C52</f>
        <v>0.1</v>
      </c>
      <c r="D39" s="88">
        <f t="shared" si="0"/>
        <v>55983.020958189198</v>
      </c>
      <c r="E39" s="90"/>
      <c r="G39" s="86"/>
      <c r="I39" s="88"/>
    </row>
    <row r="40" spans="2:9" x14ac:dyDescent="0.25">
      <c r="C40" s="91"/>
      <c r="D40" s="92"/>
      <c r="I40" s="92"/>
    </row>
    <row r="41" spans="2:9" x14ac:dyDescent="0.25">
      <c r="B41" s="93" t="s">
        <v>58</v>
      </c>
      <c r="C41" s="91"/>
      <c r="D41" s="92"/>
      <c r="G41" s="93"/>
      <c r="I41" s="92"/>
    </row>
    <row r="42" spans="2:9" x14ac:dyDescent="0.25">
      <c r="B42" s="94">
        <v>5</v>
      </c>
      <c r="C42" s="95">
        <v>0.12</v>
      </c>
      <c r="D42" s="88">
        <f>-PMT(C42/12,B42*12,$D$35)</f>
        <v>129044.91700304771</v>
      </c>
      <c r="G42" s="94"/>
      <c r="H42" s="90"/>
      <c r="I42" s="88"/>
    </row>
    <row r="43" spans="2:9" x14ac:dyDescent="0.25">
      <c r="B43" s="94">
        <v>8</v>
      </c>
      <c r="C43" s="95">
        <v>0.15</v>
      </c>
      <c r="D43" s="88">
        <f>-PMT(C43/12,B43*12,$D$35)</f>
        <v>104105.22983641987</v>
      </c>
      <c r="G43" s="94"/>
      <c r="H43" s="90"/>
      <c r="I43" s="88"/>
    </row>
    <row r="44" spans="2:9" x14ac:dyDescent="0.25">
      <c r="B44" s="94">
        <v>10</v>
      </c>
      <c r="C44" s="95">
        <v>0.15</v>
      </c>
      <c r="D44" s="88">
        <f>-PMT(C44/12,B44*12,$D$35)</f>
        <v>93593.945061069535</v>
      </c>
      <c r="G44" s="94"/>
      <c r="H44" s="90"/>
      <c r="I44" s="88"/>
    </row>
    <row r="45" spans="2:9" x14ac:dyDescent="0.25">
      <c r="B45" s="96"/>
      <c r="C45" s="96"/>
      <c r="D45" s="96"/>
      <c r="E45" s="96"/>
      <c r="F45" s="96"/>
      <c r="G45" s="96"/>
      <c r="H45" s="96"/>
      <c r="I45" s="96"/>
    </row>
    <row r="47" spans="2:9" x14ac:dyDescent="0.25">
      <c r="B47" s="79" t="s">
        <v>61</v>
      </c>
    </row>
    <row r="48" spans="2:9" x14ac:dyDescent="0.25">
      <c r="B48" s="43" t="s">
        <v>62</v>
      </c>
    </row>
    <row r="49" spans="2:9" x14ac:dyDescent="0.25">
      <c r="B49" s="43" t="s">
        <v>63</v>
      </c>
    </row>
    <row r="50" spans="2:9" x14ac:dyDescent="0.25">
      <c r="B50" s="97" t="s">
        <v>64</v>
      </c>
    </row>
    <row r="51" spans="2:9" x14ac:dyDescent="0.25">
      <c r="B51" s="43" t="s">
        <v>65</v>
      </c>
    </row>
    <row r="54" spans="2:9" s="99" customFormat="1" x14ac:dyDescent="0.25">
      <c r="B54" s="98"/>
      <c r="C54" s="98"/>
      <c r="D54" s="63"/>
      <c r="E54" s="98"/>
      <c r="F54" s="98"/>
      <c r="G54" s="98"/>
      <c r="H54" s="98"/>
      <c r="I54" s="63"/>
    </row>
    <row r="55" spans="2:9" s="99" customFormat="1" ht="15.6" customHeight="1" x14ac:dyDescent="0.25">
      <c r="B55" s="80" t="s">
        <v>66</v>
      </c>
      <c r="C55" s="80"/>
      <c r="D55" s="100"/>
      <c r="E55" s="101" t="s">
        <v>67</v>
      </c>
      <c r="F55" s="80"/>
      <c r="G55" s="100"/>
      <c r="H55" s="100"/>
      <c r="I55" s="100"/>
    </row>
    <row r="56" spans="2:9" s="99" customFormat="1" x14ac:dyDescent="0.25">
      <c r="B56" s="80"/>
      <c r="C56" s="80"/>
      <c r="D56" s="100"/>
      <c r="E56" s="100"/>
      <c r="F56" s="101"/>
      <c r="G56" s="100"/>
      <c r="H56" s="100"/>
      <c r="I56" s="100"/>
    </row>
    <row r="57" spans="2:9" s="99" customFormat="1" x14ac:dyDescent="0.25">
      <c r="B57" s="63"/>
      <c r="C57" s="63"/>
      <c r="D57" s="63"/>
      <c r="E57" s="63"/>
      <c r="F57" s="63"/>
      <c r="G57" s="63"/>
      <c r="H57" s="63"/>
      <c r="I57" s="63"/>
    </row>
    <row r="58" spans="2:9" s="99" customFormat="1" x14ac:dyDescent="0.25">
      <c r="B58" s="98"/>
      <c r="C58" s="63"/>
      <c r="D58" s="63"/>
      <c r="E58" s="98"/>
      <c r="F58" s="96"/>
      <c r="G58" s="98"/>
      <c r="H58" s="63"/>
      <c r="I58" s="63"/>
    </row>
    <row r="59" spans="2:9" s="99" customFormat="1" x14ac:dyDescent="0.25">
      <c r="B59" s="80" t="s">
        <v>68</v>
      </c>
      <c r="C59" s="102"/>
      <c r="D59" s="102"/>
      <c r="E59" s="101" t="s">
        <v>69</v>
      </c>
      <c r="F59" s="43"/>
      <c r="G59" s="102"/>
      <c r="H59" s="102"/>
      <c r="I59" s="102"/>
    </row>
    <row r="60" spans="2:9" x14ac:dyDescent="0.25">
      <c r="I60" s="103" t="s">
        <v>77</v>
      </c>
    </row>
  </sheetData>
  <sheetProtection algorithmName="SHA-512" hashValue="KZokKGih56Bgzngdze2vCo2weNbEAJVg/8DCiE8ztBmV+zkkEfno9Tgbc1dhoOoIarF4Ck3asluJUEAg8ChnBw==" saltValue="1thP4uFetIEJWSGWeet3hQ==" spinCount="100000" sheet="1" objects="1" scenarios="1"/>
  <mergeCells count="3">
    <mergeCell ref="A1:I2"/>
    <mergeCell ref="B20:D20"/>
    <mergeCell ref="G20:I20"/>
  </mergeCells>
  <pageMargins left="0.7" right="0.7" top="0.75" bottom="0.75" header="0.3" footer="0.3"/>
  <pageSetup scale="75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"/>
  <sheetViews>
    <sheetView tabSelected="1" workbookViewId="0">
      <selection activeCell="P13" sqref="P13"/>
    </sheetView>
  </sheetViews>
  <sheetFormatPr defaultColWidth="10" defaultRowHeight="13.8" x14ac:dyDescent="0.25"/>
  <cols>
    <col min="1" max="1" width="18.77734375" style="130" customWidth="1"/>
    <col min="2" max="2" width="13.6640625" style="130" customWidth="1"/>
    <col min="3" max="3" width="9.44140625" style="130" bestFit="1" customWidth="1"/>
    <col min="4" max="4" width="8.44140625" style="130" bestFit="1" customWidth="1"/>
    <col min="5" max="5" width="9.5546875" style="130" bestFit="1" customWidth="1"/>
    <col min="6" max="6" width="11" style="130" bestFit="1" customWidth="1"/>
    <col min="7" max="8" width="10" style="130"/>
    <col min="9" max="9" width="0.109375" style="130" customWidth="1"/>
    <col min="10" max="10" width="8.44140625" style="130" hidden="1" customWidth="1"/>
    <col min="11" max="11" width="11" style="130" hidden="1" customWidth="1"/>
    <col min="12" max="12" width="7.21875" style="130" customWidth="1"/>
    <col min="13" max="13" width="7.88671875" style="130" customWidth="1"/>
    <col min="14" max="16384" width="10" style="130"/>
  </cols>
  <sheetData>
    <row r="1" spans="1:11" x14ac:dyDescent="0.25">
      <c r="A1" s="129" t="str">
        <f>'Option 3&amp;4'!D6</f>
        <v>2 Torre</v>
      </c>
    </row>
    <row r="2" spans="1:11" x14ac:dyDescent="0.25">
      <c r="A2" s="129" t="s">
        <v>78</v>
      </c>
      <c r="J2" s="130" t="s">
        <v>79</v>
      </c>
      <c r="K2" s="131">
        <f>'Option 1&amp;2'!D48</f>
        <v>5714238.7360000005</v>
      </c>
    </row>
    <row r="3" spans="1:11" x14ac:dyDescent="0.25">
      <c r="J3" s="130" t="s">
        <v>80</v>
      </c>
      <c r="K3" s="131">
        <f>'Option 3&amp;4'!D35</f>
        <v>5801219.2000000002</v>
      </c>
    </row>
    <row r="4" spans="1:11" x14ac:dyDescent="0.25">
      <c r="K4" s="131"/>
    </row>
    <row r="5" spans="1:11" x14ac:dyDescent="0.25">
      <c r="A5" s="130" t="s">
        <v>81</v>
      </c>
      <c r="B5" s="180" t="s">
        <v>79</v>
      </c>
      <c r="K5" s="131"/>
    </row>
    <row r="6" spans="1:11" x14ac:dyDescent="0.25">
      <c r="A6" s="130" t="s">
        <v>82</v>
      </c>
      <c r="B6" s="179">
        <f>VLOOKUP(B5,J2:K4,2,FALSE)</f>
        <v>5714238.7360000005</v>
      </c>
    </row>
    <row r="7" spans="1:11" x14ac:dyDescent="0.25">
      <c r="A7" s="130" t="s">
        <v>83</v>
      </c>
      <c r="B7" s="180">
        <v>8</v>
      </c>
    </row>
    <row r="8" spans="1:11" x14ac:dyDescent="0.25">
      <c r="A8" s="130" t="s">
        <v>84</v>
      </c>
      <c r="B8" s="132">
        <f>IF(B7&gt;5,15%,IF(B7&gt;3,12%,10%))</f>
        <v>0.15</v>
      </c>
      <c r="J8" s="130">
        <v>5</v>
      </c>
    </row>
    <row r="9" spans="1:11" x14ac:dyDescent="0.25">
      <c r="A9" s="130" t="s">
        <v>85</v>
      </c>
      <c r="B9" s="133">
        <v>12</v>
      </c>
      <c r="J9" s="130">
        <v>8</v>
      </c>
    </row>
    <row r="10" spans="1:11" x14ac:dyDescent="0.25">
      <c r="A10" s="129" t="s">
        <v>86</v>
      </c>
      <c r="B10" s="178">
        <f>-PMT(B8/B9,B7*B9,B6)</f>
        <v>102544.33015588402</v>
      </c>
      <c r="J10" s="130">
        <v>10</v>
      </c>
    </row>
    <row r="12" spans="1:11" s="129" customFormat="1" x14ac:dyDescent="0.25">
      <c r="B12" s="134" t="s">
        <v>87</v>
      </c>
      <c r="C12" s="134" t="s">
        <v>86</v>
      </c>
      <c r="D12" s="134" t="s">
        <v>88</v>
      </c>
      <c r="E12" s="134" t="s">
        <v>89</v>
      </c>
      <c r="F12" s="134" t="s">
        <v>90</v>
      </c>
    </row>
    <row r="13" spans="1:11" x14ac:dyDescent="0.25">
      <c r="B13" s="133">
        <v>0</v>
      </c>
      <c r="F13" s="135">
        <f>B6</f>
        <v>5714238.7360000005</v>
      </c>
    </row>
    <row r="14" spans="1:11" x14ac:dyDescent="0.25">
      <c r="B14" s="133">
        <f>B13+1</f>
        <v>1</v>
      </c>
      <c r="C14" s="131">
        <f t="shared" ref="C14:C77" si="0">IF(($B$7*$B$9)&gt;=$B14,B$10,0)</f>
        <v>102544.33015588402</v>
      </c>
      <c r="D14" s="131">
        <f t="shared" ref="D14:D77" si="1">IFERROR(IPMT($B$8/$B$9,$B14,B$7*$B$9,-$B$6),0)</f>
        <v>71427.984200000006</v>
      </c>
      <c r="E14" s="135">
        <f>C14-D14</f>
        <v>31116.345955884011</v>
      </c>
      <c r="F14" s="135">
        <f>F13-E14</f>
        <v>5683122.3900441164</v>
      </c>
    </row>
    <row r="15" spans="1:11" x14ac:dyDescent="0.25">
      <c r="B15" s="133">
        <f t="shared" ref="B15:B78" si="2">B14+1</f>
        <v>2</v>
      </c>
      <c r="C15" s="131">
        <f t="shared" si="0"/>
        <v>102544.33015588402</v>
      </c>
      <c r="D15" s="131">
        <f t="shared" si="1"/>
        <v>71039.029875551452</v>
      </c>
      <c r="E15" s="135">
        <f t="shared" ref="E15:E78" si="3">C15-D15</f>
        <v>31505.300280332565</v>
      </c>
      <c r="F15" s="135">
        <f t="shared" ref="F15:F78" si="4">F14-E15</f>
        <v>5651617.0897637838</v>
      </c>
    </row>
    <row r="16" spans="1:11" x14ac:dyDescent="0.25">
      <c r="B16" s="133">
        <f t="shared" si="2"/>
        <v>3</v>
      </c>
      <c r="C16" s="131">
        <f t="shared" si="0"/>
        <v>102544.33015588402</v>
      </c>
      <c r="D16" s="131">
        <f t="shared" si="1"/>
        <v>70645.213622047289</v>
      </c>
      <c r="E16" s="135">
        <f t="shared" si="3"/>
        <v>31899.116533836728</v>
      </c>
      <c r="F16" s="135">
        <f t="shared" si="4"/>
        <v>5619717.9732299475</v>
      </c>
    </row>
    <row r="17" spans="2:6" x14ac:dyDescent="0.25">
      <c r="B17" s="133">
        <f t="shared" si="2"/>
        <v>4</v>
      </c>
      <c r="C17" s="131">
        <f t="shared" si="0"/>
        <v>102544.33015588402</v>
      </c>
      <c r="D17" s="131">
        <f t="shared" si="1"/>
        <v>70246.474665374335</v>
      </c>
      <c r="E17" s="135">
        <f t="shared" si="3"/>
        <v>32297.855490509683</v>
      </c>
      <c r="F17" s="135">
        <f t="shared" si="4"/>
        <v>5587420.1177394381</v>
      </c>
    </row>
    <row r="18" spans="2:6" x14ac:dyDescent="0.25">
      <c r="B18" s="133">
        <f t="shared" si="2"/>
        <v>5</v>
      </c>
      <c r="C18" s="131">
        <f t="shared" si="0"/>
        <v>102544.33015588402</v>
      </c>
      <c r="D18" s="131">
        <f t="shared" si="1"/>
        <v>69842.751471742973</v>
      </c>
      <c r="E18" s="135">
        <f t="shared" si="3"/>
        <v>32701.578684141045</v>
      </c>
      <c r="F18" s="135">
        <f t="shared" si="4"/>
        <v>5554718.5390552972</v>
      </c>
    </row>
    <row r="19" spans="2:6" x14ac:dyDescent="0.25">
      <c r="B19" s="133">
        <f t="shared" si="2"/>
        <v>6</v>
      </c>
      <c r="C19" s="131">
        <f t="shared" si="0"/>
        <v>102544.33015588402</v>
      </c>
      <c r="D19" s="131">
        <f t="shared" si="1"/>
        <v>69433.9817381912</v>
      </c>
      <c r="E19" s="135">
        <f t="shared" si="3"/>
        <v>33110.348417692818</v>
      </c>
      <c r="F19" s="135">
        <f t="shared" si="4"/>
        <v>5521608.1906376043</v>
      </c>
    </row>
    <row r="20" spans="2:6" x14ac:dyDescent="0.25">
      <c r="B20" s="133">
        <f t="shared" si="2"/>
        <v>7</v>
      </c>
      <c r="C20" s="131">
        <f t="shared" si="0"/>
        <v>102544.33015588402</v>
      </c>
      <c r="D20" s="131">
        <f t="shared" si="1"/>
        <v>69020.102382970043</v>
      </c>
      <c r="E20" s="135">
        <f t="shared" si="3"/>
        <v>33524.227772913975</v>
      </c>
      <c r="F20" s="135">
        <f t="shared" si="4"/>
        <v>5488083.9628646905</v>
      </c>
    </row>
    <row r="21" spans="2:6" x14ac:dyDescent="0.25">
      <c r="B21" s="133">
        <f t="shared" si="2"/>
        <v>8</v>
      </c>
      <c r="C21" s="131">
        <f t="shared" si="0"/>
        <v>102544.33015588402</v>
      </c>
      <c r="D21" s="131">
        <f t="shared" si="1"/>
        <v>68601.049535808619</v>
      </c>
      <c r="E21" s="135">
        <f t="shared" si="3"/>
        <v>33943.280620075398</v>
      </c>
      <c r="F21" s="135">
        <f t="shared" si="4"/>
        <v>5454140.6822446147</v>
      </c>
    </row>
    <row r="22" spans="2:6" x14ac:dyDescent="0.25">
      <c r="B22" s="133">
        <f t="shared" si="2"/>
        <v>9</v>
      </c>
      <c r="C22" s="131">
        <f t="shared" si="0"/>
        <v>102544.33015588402</v>
      </c>
      <c r="D22" s="131">
        <f t="shared" si="1"/>
        <v>68176.75852805766</v>
      </c>
      <c r="E22" s="135">
        <f t="shared" si="3"/>
        <v>34367.571627826357</v>
      </c>
      <c r="F22" s="135">
        <f t="shared" si="4"/>
        <v>5419773.1106167883</v>
      </c>
    </row>
    <row r="23" spans="2:6" x14ac:dyDescent="0.25">
      <c r="B23" s="133">
        <f t="shared" si="2"/>
        <v>10</v>
      </c>
      <c r="C23" s="131">
        <f t="shared" si="0"/>
        <v>102544.33015588402</v>
      </c>
      <c r="D23" s="131">
        <f t="shared" si="1"/>
        <v>67747.16388270985</v>
      </c>
      <c r="E23" s="135">
        <f t="shared" si="3"/>
        <v>34797.166273174167</v>
      </c>
      <c r="F23" s="135">
        <f t="shared" si="4"/>
        <v>5384975.9443436144</v>
      </c>
    </row>
    <row r="24" spans="2:6" x14ac:dyDescent="0.25">
      <c r="B24" s="133">
        <f t="shared" si="2"/>
        <v>11</v>
      </c>
      <c r="C24" s="131">
        <f t="shared" si="0"/>
        <v>102544.33015588402</v>
      </c>
      <c r="D24" s="131">
        <f t="shared" si="1"/>
        <v>67312.199304295165</v>
      </c>
      <c r="E24" s="135">
        <f t="shared" si="3"/>
        <v>35232.130851588852</v>
      </c>
      <c r="F24" s="135">
        <f t="shared" si="4"/>
        <v>5349743.8134920252</v>
      </c>
    </row>
    <row r="25" spans="2:6" x14ac:dyDescent="0.25">
      <c r="B25" s="133">
        <f t="shared" si="2"/>
        <v>12</v>
      </c>
      <c r="C25" s="131">
        <f t="shared" si="0"/>
        <v>102544.33015588402</v>
      </c>
      <c r="D25" s="131">
        <f t="shared" si="1"/>
        <v>66871.797668650295</v>
      </c>
      <c r="E25" s="135">
        <f t="shared" si="3"/>
        <v>35672.532487233722</v>
      </c>
      <c r="F25" s="135">
        <f t="shared" si="4"/>
        <v>5314071.2810047911</v>
      </c>
    </row>
    <row r="26" spans="2:6" x14ac:dyDescent="0.25">
      <c r="B26" s="133">
        <f t="shared" si="2"/>
        <v>13</v>
      </c>
      <c r="C26" s="131">
        <f t="shared" si="0"/>
        <v>102544.33015588402</v>
      </c>
      <c r="D26" s="131">
        <f t="shared" si="1"/>
        <v>66425.891012559878</v>
      </c>
      <c r="E26" s="135">
        <f t="shared" si="3"/>
        <v>36118.43914332414</v>
      </c>
      <c r="F26" s="135">
        <f t="shared" si="4"/>
        <v>5277952.8418614669</v>
      </c>
    </row>
    <row r="27" spans="2:6" x14ac:dyDescent="0.25">
      <c r="B27" s="133">
        <f t="shared" si="2"/>
        <v>14</v>
      </c>
      <c r="C27" s="131">
        <f t="shared" si="0"/>
        <v>102544.33015588402</v>
      </c>
      <c r="D27" s="131">
        <f t="shared" si="1"/>
        <v>65974.410523268336</v>
      </c>
      <c r="E27" s="135">
        <f t="shared" si="3"/>
        <v>36569.919632615682</v>
      </c>
      <c r="F27" s="135">
        <f t="shared" si="4"/>
        <v>5241382.9222288514</v>
      </c>
    </row>
    <row r="28" spans="2:6" x14ac:dyDescent="0.25">
      <c r="B28" s="133">
        <f t="shared" si="2"/>
        <v>15</v>
      </c>
      <c r="C28" s="131">
        <f t="shared" si="0"/>
        <v>102544.33015588402</v>
      </c>
      <c r="D28" s="131">
        <f t="shared" si="1"/>
        <v>65517.286527860633</v>
      </c>
      <c r="E28" s="135">
        <f t="shared" si="3"/>
        <v>37027.043628023384</v>
      </c>
      <c r="F28" s="135">
        <f t="shared" si="4"/>
        <v>5204355.8786008283</v>
      </c>
    </row>
    <row r="29" spans="2:6" x14ac:dyDescent="0.25">
      <c r="B29" s="133">
        <f t="shared" si="2"/>
        <v>16</v>
      </c>
      <c r="C29" s="131">
        <f t="shared" si="0"/>
        <v>102544.33015588402</v>
      </c>
      <c r="D29" s="131">
        <f t="shared" si="1"/>
        <v>65054.44848251035</v>
      </c>
      <c r="E29" s="135">
        <f t="shared" si="3"/>
        <v>37489.881673373668</v>
      </c>
      <c r="F29" s="135">
        <f t="shared" si="4"/>
        <v>5166865.9969274551</v>
      </c>
    </row>
    <row r="30" spans="2:6" x14ac:dyDescent="0.25">
      <c r="B30" s="133">
        <f t="shared" si="2"/>
        <v>17</v>
      </c>
      <c r="C30" s="131">
        <f t="shared" si="0"/>
        <v>102544.33015588402</v>
      </c>
      <c r="D30" s="131">
        <f t="shared" si="1"/>
        <v>64585.824961593171</v>
      </c>
      <c r="E30" s="135">
        <f t="shared" si="3"/>
        <v>37958.505194290847</v>
      </c>
      <c r="F30" s="135">
        <f t="shared" si="4"/>
        <v>5128907.4917331645</v>
      </c>
    </row>
    <row r="31" spans="2:6" x14ac:dyDescent="0.25">
      <c r="B31" s="133">
        <f t="shared" si="2"/>
        <v>18</v>
      </c>
      <c r="C31" s="131">
        <f t="shared" si="0"/>
        <v>102544.33015588402</v>
      </c>
      <c r="D31" s="131">
        <f t="shared" si="1"/>
        <v>64111.343646664536</v>
      </c>
      <c r="E31" s="135">
        <f t="shared" si="3"/>
        <v>38432.986509219481</v>
      </c>
      <c r="F31" s="135">
        <f t="shared" si="4"/>
        <v>5090474.5052239448</v>
      </c>
    </row>
    <row r="32" spans="2:6" x14ac:dyDescent="0.25">
      <c r="B32" s="133">
        <f t="shared" si="2"/>
        <v>19</v>
      </c>
      <c r="C32" s="131">
        <f t="shared" si="0"/>
        <v>102544.33015588402</v>
      </c>
      <c r="D32" s="131">
        <f t="shared" si="1"/>
        <v>63630.931315299305</v>
      </c>
      <c r="E32" s="135">
        <f t="shared" si="3"/>
        <v>38913.398840584712</v>
      </c>
      <c r="F32" s="135">
        <f t="shared" si="4"/>
        <v>5051561.10638336</v>
      </c>
    </row>
    <row r="33" spans="2:6" x14ac:dyDescent="0.25">
      <c r="B33" s="133">
        <f t="shared" si="2"/>
        <v>20</v>
      </c>
      <c r="C33" s="131">
        <f t="shared" si="0"/>
        <v>102544.33015588402</v>
      </c>
      <c r="D33" s="131">
        <f t="shared" si="1"/>
        <v>63144.513829791984</v>
      </c>
      <c r="E33" s="135">
        <f t="shared" si="3"/>
        <v>39399.816326092034</v>
      </c>
      <c r="F33" s="135">
        <f t="shared" si="4"/>
        <v>5012161.290057268</v>
      </c>
    </row>
    <row r="34" spans="2:6" x14ac:dyDescent="0.25">
      <c r="B34" s="133">
        <f t="shared" si="2"/>
        <v>21</v>
      </c>
      <c r="C34" s="131">
        <f t="shared" si="0"/>
        <v>102544.33015588402</v>
      </c>
      <c r="D34" s="131">
        <f t="shared" si="1"/>
        <v>62652.016125715832</v>
      </c>
      <c r="E34" s="135">
        <f t="shared" si="3"/>
        <v>39892.314030168185</v>
      </c>
      <c r="F34" s="135">
        <f t="shared" si="4"/>
        <v>4972268.9760270994</v>
      </c>
    </row>
    <row r="35" spans="2:6" x14ac:dyDescent="0.25">
      <c r="B35" s="133">
        <f t="shared" si="2"/>
        <v>22</v>
      </c>
      <c r="C35" s="131">
        <f t="shared" si="0"/>
        <v>102544.33015588402</v>
      </c>
      <c r="D35" s="131">
        <f t="shared" si="1"/>
        <v>62153.362200338735</v>
      </c>
      <c r="E35" s="135">
        <f t="shared" si="3"/>
        <v>40390.967955545282</v>
      </c>
      <c r="F35" s="135">
        <f t="shared" si="4"/>
        <v>4931878.0080715539</v>
      </c>
    </row>
    <row r="36" spans="2:6" x14ac:dyDescent="0.25">
      <c r="B36" s="133">
        <f t="shared" si="2"/>
        <v>23</v>
      </c>
      <c r="C36" s="131">
        <f t="shared" si="0"/>
        <v>102544.33015588402</v>
      </c>
      <c r="D36" s="131">
        <f t="shared" si="1"/>
        <v>61648.475100894415</v>
      </c>
      <c r="E36" s="135">
        <f t="shared" si="3"/>
        <v>40895.855054989603</v>
      </c>
      <c r="F36" s="135">
        <f t="shared" si="4"/>
        <v>4890982.1530165644</v>
      </c>
    </row>
    <row r="37" spans="2:6" x14ac:dyDescent="0.25">
      <c r="B37" s="133">
        <f t="shared" si="2"/>
        <v>24</v>
      </c>
      <c r="C37" s="131">
        <f t="shared" si="0"/>
        <v>102544.33015588402</v>
      </c>
      <c r="D37" s="131">
        <f t="shared" si="1"/>
        <v>61137.27691270705</v>
      </c>
      <c r="E37" s="135">
        <f t="shared" si="3"/>
        <v>41407.053243176968</v>
      </c>
      <c r="F37" s="135">
        <f t="shared" si="4"/>
        <v>4849575.0997733874</v>
      </c>
    </row>
    <row r="38" spans="2:6" x14ac:dyDescent="0.25">
      <c r="B38" s="133">
        <f t="shared" si="2"/>
        <v>25</v>
      </c>
      <c r="C38" s="131">
        <f t="shared" si="0"/>
        <v>102544.33015588402</v>
      </c>
      <c r="D38" s="131">
        <f t="shared" si="1"/>
        <v>60619.68874716734</v>
      </c>
      <c r="E38" s="135">
        <f t="shared" si="3"/>
        <v>41924.641408716678</v>
      </c>
      <c r="F38" s="135">
        <f t="shared" si="4"/>
        <v>4807650.4583646711</v>
      </c>
    </row>
    <row r="39" spans="2:6" x14ac:dyDescent="0.25">
      <c r="B39" s="133">
        <f t="shared" si="2"/>
        <v>26</v>
      </c>
      <c r="C39" s="131">
        <f t="shared" si="0"/>
        <v>102544.33015588402</v>
      </c>
      <c r="D39" s="131">
        <f t="shared" si="1"/>
        <v>60095.630729558376</v>
      </c>
      <c r="E39" s="135">
        <f t="shared" si="3"/>
        <v>42448.699426325642</v>
      </c>
      <c r="F39" s="135">
        <f t="shared" si="4"/>
        <v>4765201.7589383451</v>
      </c>
    </row>
    <row r="40" spans="2:6" x14ac:dyDescent="0.25">
      <c r="B40" s="133">
        <f t="shared" si="2"/>
        <v>27</v>
      </c>
      <c r="C40" s="131">
        <f t="shared" si="0"/>
        <v>102544.33015588402</v>
      </c>
      <c r="D40" s="131">
        <f t="shared" si="1"/>
        <v>59565.021986729313</v>
      </c>
      <c r="E40" s="135">
        <f t="shared" si="3"/>
        <v>42979.308169154705</v>
      </c>
      <c r="F40" s="135">
        <f t="shared" si="4"/>
        <v>4722222.4507691907</v>
      </c>
    </row>
    <row r="41" spans="2:6" x14ac:dyDescent="0.25">
      <c r="B41" s="133">
        <f t="shared" si="2"/>
        <v>28</v>
      </c>
      <c r="C41" s="131">
        <f t="shared" si="0"/>
        <v>102544.33015588402</v>
      </c>
      <c r="D41" s="131">
        <f t="shared" si="1"/>
        <v>59027.780634614879</v>
      </c>
      <c r="E41" s="135">
        <f t="shared" si="3"/>
        <v>43516.549521269138</v>
      </c>
      <c r="F41" s="135">
        <f t="shared" si="4"/>
        <v>4678705.9012479214</v>
      </c>
    </row>
    <row r="42" spans="2:6" x14ac:dyDescent="0.25">
      <c r="B42" s="133">
        <f t="shared" si="2"/>
        <v>29</v>
      </c>
      <c r="C42" s="131">
        <f t="shared" si="0"/>
        <v>102544.33015588402</v>
      </c>
      <c r="D42" s="131">
        <f t="shared" si="1"/>
        <v>58483.823765599016</v>
      </c>
      <c r="E42" s="135">
        <f t="shared" si="3"/>
        <v>44060.506390285002</v>
      </c>
      <c r="F42" s="135">
        <f t="shared" si="4"/>
        <v>4634645.3948576367</v>
      </c>
    </row>
    <row r="43" spans="2:6" x14ac:dyDescent="0.25">
      <c r="B43" s="133">
        <f t="shared" si="2"/>
        <v>30</v>
      </c>
      <c r="C43" s="131">
        <f t="shared" si="0"/>
        <v>102544.33015588402</v>
      </c>
      <c r="D43" s="131">
        <f t="shared" si="1"/>
        <v>57933.067435720455</v>
      </c>
      <c r="E43" s="135">
        <f t="shared" si="3"/>
        <v>44611.262720163562</v>
      </c>
      <c r="F43" s="135">
        <f t="shared" si="4"/>
        <v>4590034.1321374727</v>
      </c>
    </row>
    <row r="44" spans="2:6" x14ac:dyDescent="0.25">
      <c r="B44" s="133">
        <f t="shared" si="2"/>
        <v>31</v>
      </c>
      <c r="C44" s="131">
        <f t="shared" si="0"/>
        <v>102544.33015588402</v>
      </c>
      <c r="D44" s="131">
        <f t="shared" si="1"/>
        <v>57375.426651718408</v>
      </c>
      <c r="E44" s="135">
        <f t="shared" si="3"/>
        <v>45168.90350416561</v>
      </c>
      <c r="F44" s="135">
        <f t="shared" si="4"/>
        <v>4544865.2286333069</v>
      </c>
    </row>
    <row r="45" spans="2:6" x14ac:dyDescent="0.25">
      <c r="B45" s="133">
        <f t="shared" si="2"/>
        <v>32</v>
      </c>
      <c r="C45" s="131">
        <f t="shared" si="0"/>
        <v>102544.33015588402</v>
      </c>
      <c r="D45" s="131">
        <f t="shared" si="1"/>
        <v>56810.815357916334</v>
      </c>
      <c r="E45" s="135">
        <f t="shared" si="3"/>
        <v>45733.514797967684</v>
      </c>
      <c r="F45" s="135">
        <f t="shared" si="4"/>
        <v>4499131.7138353391</v>
      </c>
    </row>
    <row r="46" spans="2:6" x14ac:dyDescent="0.25">
      <c r="B46" s="133">
        <f t="shared" si="2"/>
        <v>33</v>
      </c>
      <c r="C46" s="131">
        <f t="shared" si="0"/>
        <v>102544.33015588402</v>
      </c>
      <c r="D46" s="131">
        <f t="shared" si="1"/>
        <v>56239.146422941732</v>
      </c>
      <c r="E46" s="135">
        <f t="shared" si="3"/>
        <v>46305.183732942285</v>
      </c>
      <c r="F46" s="135">
        <f t="shared" si="4"/>
        <v>4452826.5301023964</v>
      </c>
    </row>
    <row r="47" spans="2:6" x14ac:dyDescent="0.25">
      <c r="B47" s="133">
        <f t="shared" si="2"/>
        <v>34</v>
      </c>
      <c r="C47" s="131">
        <f t="shared" si="0"/>
        <v>102544.33015588402</v>
      </c>
      <c r="D47" s="131">
        <f t="shared" si="1"/>
        <v>55660.331626279964</v>
      </c>
      <c r="E47" s="135">
        <f t="shared" si="3"/>
        <v>46883.998529604054</v>
      </c>
      <c r="F47" s="135">
        <f t="shared" si="4"/>
        <v>4405942.5315727927</v>
      </c>
    </row>
    <row r="48" spans="2:6" x14ac:dyDescent="0.25">
      <c r="B48" s="133">
        <f t="shared" si="2"/>
        <v>35</v>
      </c>
      <c r="C48" s="131">
        <f t="shared" si="0"/>
        <v>102544.33015588402</v>
      </c>
      <c r="D48" s="131">
        <f t="shared" si="1"/>
        <v>55074.281644659903</v>
      </c>
      <c r="E48" s="135">
        <f t="shared" si="3"/>
        <v>47470.048511224115</v>
      </c>
      <c r="F48" s="135">
        <f t="shared" si="4"/>
        <v>4358472.4830615688</v>
      </c>
    </row>
    <row r="49" spans="2:6" x14ac:dyDescent="0.25">
      <c r="B49" s="133">
        <f t="shared" si="2"/>
        <v>36</v>
      </c>
      <c r="C49" s="131">
        <f t="shared" si="0"/>
        <v>102544.33015588402</v>
      </c>
      <c r="D49" s="131">
        <f t="shared" si="1"/>
        <v>54480.906038269604</v>
      </c>
      <c r="E49" s="135">
        <f t="shared" si="3"/>
        <v>48063.424117614413</v>
      </c>
      <c r="F49" s="135">
        <f t="shared" si="4"/>
        <v>4310409.0589439543</v>
      </c>
    </row>
    <row r="50" spans="2:6" x14ac:dyDescent="0.25">
      <c r="B50" s="133">
        <f t="shared" si="2"/>
        <v>37</v>
      </c>
      <c r="C50" s="131">
        <f t="shared" si="0"/>
        <v>102544.33015588402</v>
      </c>
      <c r="D50" s="131">
        <f t="shared" si="1"/>
        <v>53880.113236799421</v>
      </c>
      <c r="E50" s="135">
        <f t="shared" si="3"/>
        <v>48664.216919084596</v>
      </c>
      <c r="F50" s="135">
        <f t="shared" si="4"/>
        <v>4261744.8420248693</v>
      </c>
    </row>
    <row r="51" spans="2:6" x14ac:dyDescent="0.25">
      <c r="B51" s="133">
        <f t="shared" si="2"/>
        <v>38</v>
      </c>
      <c r="C51" s="131">
        <f t="shared" si="0"/>
        <v>102544.33015588402</v>
      </c>
      <c r="D51" s="131">
        <f t="shared" si="1"/>
        <v>53271.810525310859</v>
      </c>
      <c r="E51" s="135">
        <f t="shared" si="3"/>
        <v>49272.519630573159</v>
      </c>
      <c r="F51" s="135">
        <f t="shared" si="4"/>
        <v>4212472.3223942965</v>
      </c>
    </row>
    <row r="52" spans="2:6" x14ac:dyDescent="0.25">
      <c r="B52" s="133">
        <f t="shared" si="2"/>
        <v>39</v>
      </c>
      <c r="C52" s="131">
        <f t="shared" si="0"/>
        <v>102544.33015588402</v>
      </c>
      <c r="D52" s="131">
        <f t="shared" si="1"/>
        <v>52655.904029928715</v>
      </c>
      <c r="E52" s="135">
        <f t="shared" si="3"/>
        <v>49888.426125955302</v>
      </c>
      <c r="F52" s="135">
        <f t="shared" si="4"/>
        <v>4162583.8962683412</v>
      </c>
    </row>
    <row r="53" spans="2:6" x14ac:dyDescent="0.25">
      <c r="B53" s="133">
        <f t="shared" si="2"/>
        <v>40</v>
      </c>
      <c r="C53" s="131">
        <f t="shared" si="0"/>
        <v>102544.33015588402</v>
      </c>
      <c r="D53" s="131">
        <f t="shared" si="1"/>
        <v>52032.298703354267</v>
      </c>
      <c r="E53" s="135">
        <f t="shared" si="3"/>
        <v>50512.031452529751</v>
      </c>
      <c r="F53" s="135">
        <f t="shared" si="4"/>
        <v>4112071.8648158116</v>
      </c>
    </row>
    <row r="54" spans="2:6" x14ac:dyDescent="0.25">
      <c r="B54" s="133">
        <f t="shared" si="2"/>
        <v>41</v>
      </c>
      <c r="C54" s="131">
        <f t="shared" si="0"/>
        <v>102544.33015588402</v>
      </c>
      <c r="D54" s="131">
        <f t="shared" si="1"/>
        <v>51400.898310197641</v>
      </c>
      <c r="E54" s="135">
        <f t="shared" si="3"/>
        <v>51143.431845686377</v>
      </c>
      <c r="F54" s="135">
        <f t="shared" si="4"/>
        <v>4060928.4329701252</v>
      </c>
    </row>
    <row r="55" spans="2:6" x14ac:dyDescent="0.25">
      <c r="B55" s="133">
        <f t="shared" si="2"/>
        <v>42</v>
      </c>
      <c r="C55" s="131">
        <f t="shared" si="0"/>
        <v>102544.33015588402</v>
      </c>
      <c r="D55" s="131">
        <f t="shared" si="1"/>
        <v>50761.60541212657</v>
      </c>
      <c r="E55" s="135">
        <f t="shared" si="3"/>
        <v>51782.724743757448</v>
      </c>
      <c r="F55" s="135">
        <f t="shared" si="4"/>
        <v>4009145.7082263678</v>
      </c>
    </row>
    <row r="56" spans="2:6" x14ac:dyDescent="0.25">
      <c r="B56" s="133">
        <f t="shared" si="2"/>
        <v>43</v>
      </c>
      <c r="C56" s="131">
        <f t="shared" si="0"/>
        <v>102544.33015588402</v>
      </c>
      <c r="D56" s="131">
        <f t="shared" si="1"/>
        <v>50114.321352829589</v>
      </c>
      <c r="E56" s="135">
        <f t="shared" si="3"/>
        <v>52430.008803054428</v>
      </c>
      <c r="F56" s="135">
        <f t="shared" si="4"/>
        <v>3956715.6994233136</v>
      </c>
    </row>
    <row r="57" spans="2:6" x14ac:dyDescent="0.25">
      <c r="B57" s="133">
        <f t="shared" si="2"/>
        <v>44</v>
      </c>
      <c r="C57" s="131">
        <f t="shared" si="0"/>
        <v>102544.33015588402</v>
      </c>
      <c r="D57" s="131">
        <f t="shared" si="1"/>
        <v>49458.946242791419</v>
      </c>
      <c r="E57" s="135">
        <f t="shared" si="3"/>
        <v>53085.383913092599</v>
      </c>
      <c r="F57" s="135">
        <f t="shared" si="4"/>
        <v>3903630.3155102208</v>
      </c>
    </row>
    <row r="58" spans="2:6" x14ac:dyDescent="0.25">
      <c r="B58" s="133">
        <f t="shared" si="2"/>
        <v>45</v>
      </c>
      <c r="C58" s="131">
        <f t="shared" si="0"/>
        <v>102544.33015588402</v>
      </c>
      <c r="D58" s="131">
        <f t="shared" si="1"/>
        <v>48795.378943877768</v>
      </c>
      <c r="E58" s="135">
        <f t="shared" si="3"/>
        <v>53748.95121200625</v>
      </c>
      <c r="F58" s="135">
        <f t="shared" si="4"/>
        <v>3849881.3642982147</v>
      </c>
    </row>
    <row r="59" spans="2:6" x14ac:dyDescent="0.25">
      <c r="B59" s="133">
        <f t="shared" si="2"/>
        <v>46</v>
      </c>
      <c r="C59" s="131">
        <f t="shared" si="0"/>
        <v>102544.33015588402</v>
      </c>
      <c r="D59" s="131">
        <f t="shared" si="1"/>
        <v>48123.517053727679</v>
      </c>
      <c r="E59" s="135">
        <f t="shared" si="3"/>
        <v>54420.813102156339</v>
      </c>
      <c r="F59" s="135">
        <f t="shared" si="4"/>
        <v>3795460.5511960583</v>
      </c>
    </row>
    <row r="60" spans="2:6" x14ac:dyDescent="0.25">
      <c r="B60" s="133">
        <f t="shared" si="2"/>
        <v>47</v>
      </c>
      <c r="C60" s="131">
        <f t="shared" si="0"/>
        <v>102544.33015588402</v>
      </c>
      <c r="D60" s="131">
        <f t="shared" si="1"/>
        <v>47443.256889950731</v>
      </c>
      <c r="E60" s="135">
        <f t="shared" si="3"/>
        <v>55101.073265933286</v>
      </c>
      <c r="F60" s="135">
        <f t="shared" si="4"/>
        <v>3740359.4779301248</v>
      </c>
    </row>
    <row r="61" spans="2:6" x14ac:dyDescent="0.25">
      <c r="B61" s="133">
        <f t="shared" si="2"/>
        <v>48</v>
      </c>
      <c r="C61" s="131">
        <f t="shared" si="0"/>
        <v>102544.33015588402</v>
      </c>
      <c r="D61" s="131">
        <f t="shared" si="1"/>
        <v>46754.493474126561</v>
      </c>
      <c r="E61" s="135">
        <f t="shared" si="3"/>
        <v>55789.836681757457</v>
      </c>
      <c r="F61" s="135">
        <f t="shared" si="4"/>
        <v>3684569.6412483673</v>
      </c>
    </row>
    <row r="62" spans="2:6" x14ac:dyDescent="0.25">
      <c r="B62" s="133">
        <f t="shared" si="2"/>
        <v>49</v>
      </c>
      <c r="C62" s="131">
        <f t="shared" si="0"/>
        <v>102544.33015588402</v>
      </c>
      <c r="D62" s="131">
        <f t="shared" si="1"/>
        <v>46057.120515604591</v>
      </c>
      <c r="E62" s="135">
        <f t="shared" si="3"/>
        <v>56487.209640279427</v>
      </c>
      <c r="F62" s="135">
        <f t="shared" si="4"/>
        <v>3628082.4316080878</v>
      </c>
    </row>
    <row r="63" spans="2:6" x14ac:dyDescent="0.25">
      <c r="B63" s="133">
        <f t="shared" si="2"/>
        <v>50</v>
      </c>
      <c r="C63" s="131">
        <f t="shared" si="0"/>
        <v>102544.33015588402</v>
      </c>
      <c r="D63" s="131">
        <f t="shared" si="1"/>
        <v>45351.030395101094</v>
      </c>
      <c r="E63" s="135">
        <f t="shared" si="3"/>
        <v>57193.299760782924</v>
      </c>
      <c r="F63" s="135">
        <f t="shared" si="4"/>
        <v>3570889.1318473048</v>
      </c>
    </row>
    <row r="64" spans="2:6" x14ac:dyDescent="0.25">
      <c r="B64" s="133">
        <f t="shared" si="2"/>
        <v>51</v>
      </c>
      <c r="C64" s="131">
        <f t="shared" si="0"/>
        <v>102544.33015588402</v>
      </c>
      <c r="D64" s="131">
        <f t="shared" si="1"/>
        <v>44636.114148091307</v>
      </c>
      <c r="E64" s="135">
        <f t="shared" si="3"/>
        <v>57908.216007792711</v>
      </c>
      <c r="F64" s="135">
        <f t="shared" si="4"/>
        <v>3512980.9158395119</v>
      </c>
    </row>
    <row r="65" spans="2:6" x14ac:dyDescent="0.25">
      <c r="B65" s="133">
        <f t="shared" si="2"/>
        <v>52</v>
      </c>
      <c r="C65" s="131">
        <f t="shared" si="0"/>
        <v>102544.33015588402</v>
      </c>
      <c r="D65" s="131">
        <f t="shared" si="1"/>
        <v>43912.2614479939</v>
      </c>
      <c r="E65" s="135">
        <f t="shared" si="3"/>
        <v>58632.068707890117</v>
      </c>
      <c r="F65" s="135">
        <f t="shared" si="4"/>
        <v>3454348.8471316216</v>
      </c>
    </row>
    <row r="66" spans="2:6" x14ac:dyDescent="0.25">
      <c r="B66" s="133">
        <f t="shared" si="2"/>
        <v>53</v>
      </c>
      <c r="C66" s="131">
        <f t="shared" si="0"/>
        <v>102544.33015588402</v>
      </c>
      <c r="D66" s="131">
        <f t="shared" si="1"/>
        <v>43179.360589145275</v>
      </c>
      <c r="E66" s="135">
        <f t="shared" si="3"/>
        <v>59364.969566738742</v>
      </c>
      <c r="F66" s="135">
        <f t="shared" si="4"/>
        <v>3394983.8775648829</v>
      </c>
    </row>
    <row r="67" spans="2:6" x14ac:dyDescent="0.25">
      <c r="B67" s="133">
        <f t="shared" si="2"/>
        <v>54</v>
      </c>
      <c r="C67" s="131">
        <f t="shared" si="0"/>
        <v>102544.33015588402</v>
      </c>
      <c r="D67" s="131">
        <f t="shared" si="1"/>
        <v>42437.298469561043</v>
      </c>
      <c r="E67" s="135">
        <f t="shared" si="3"/>
        <v>60107.031686322975</v>
      </c>
      <c r="F67" s="135">
        <f t="shared" si="4"/>
        <v>3334876.8458785601</v>
      </c>
    </row>
    <row r="68" spans="2:6" x14ac:dyDescent="0.25">
      <c r="B68" s="133">
        <f t="shared" si="2"/>
        <v>55</v>
      </c>
      <c r="C68" s="131">
        <f t="shared" si="0"/>
        <v>102544.33015588402</v>
      </c>
      <c r="D68" s="131">
        <f t="shared" si="1"/>
        <v>41685.960573482</v>
      </c>
      <c r="E68" s="135">
        <f t="shared" si="3"/>
        <v>60858.369582402018</v>
      </c>
      <c r="F68" s="135">
        <f t="shared" si="4"/>
        <v>3274018.476296158</v>
      </c>
    </row>
    <row r="69" spans="2:6" x14ac:dyDescent="0.25">
      <c r="B69" s="133">
        <f t="shared" si="2"/>
        <v>56</v>
      </c>
      <c r="C69" s="131">
        <f t="shared" si="0"/>
        <v>102544.33015588402</v>
      </c>
      <c r="D69" s="131">
        <f t="shared" si="1"/>
        <v>40925.230953701976</v>
      </c>
      <c r="E69" s="135">
        <f t="shared" si="3"/>
        <v>61619.099202182042</v>
      </c>
      <c r="F69" s="135">
        <f t="shared" si="4"/>
        <v>3212399.3770939759</v>
      </c>
    </row>
    <row r="70" spans="2:6" x14ac:dyDescent="0.25">
      <c r="B70" s="133">
        <f t="shared" si="2"/>
        <v>57</v>
      </c>
      <c r="C70" s="131">
        <f t="shared" si="0"/>
        <v>102544.33015588402</v>
      </c>
      <c r="D70" s="131">
        <f t="shared" si="1"/>
        <v>40154.992213674705</v>
      </c>
      <c r="E70" s="135">
        <f t="shared" si="3"/>
        <v>62389.337942209313</v>
      </c>
      <c r="F70" s="135">
        <f t="shared" si="4"/>
        <v>3150010.0391517668</v>
      </c>
    </row>
    <row r="71" spans="2:6" x14ac:dyDescent="0.25">
      <c r="B71" s="133">
        <f t="shared" si="2"/>
        <v>58</v>
      </c>
      <c r="C71" s="131">
        <f t="shared" si="0"/>
        <v>102544.33015588402</v>
      </c>
      <c r="D71" s="131">
        <f t="shared" si="1"/>
        <v>39375.125489397084</v>
      </c>
      <c r="E71" s="135">
        <f t="shared" si="3"/>
        <v>63169.204666486934</v>
      </c>
      <c r="F71" s="135">
        <f t="shared" si="4"/>
        <v>3086840.8344852799</v>
      </c>
    </row>
    <row r="72" spans="2:6" x14ac:dyDescent="0.25">
      <c r="B72" s="133">
        <f t="shared" si="2"/>
        <v>59</v>
      </c>
      <c r="C72" s="131">
        <f t="shared" si="0"/>
        <v>102544.33015588402</v>
      </c>
      <c r="D72" s="131">
        <f t="shared" si="1"/>
        <v>38585.510431066003</v>
      </c>
      <c r="E72" s="135">
        <f t="shared" si="3"/>
        <v>63958.819724818015</v>
      </c>
      <c r="F72" s="135">
        <f t="shared" si="4"/>
        <v>3022882.0147604616</v>
      </c>
    </row>
    <row r="73" spans="2:6" x14ac:dyDescent="0.25">
      <c r="B73" s="133">
        <f t="shared" si="2"/>
        <v>60</v>
      </c>
      <c r="C73" s="131">
        <f t="shared" si="0"/>
        <v>102544.33015588402</v>
      </c>
      <c r="D73" s="131">
        <f t="shared" si="1"/>
        <v>37786.025184505772</v>
      </c>
      <c r="E73" s="135">
        <f t="shared" si="3"/>
        <v>64758.304971378246</v>
      </c>
      <c r="F73" s="135">
        <f t="shared" si="4"/>
        <v>2958123.7097890833</v>
      </c>
    </row>
    <row r="74" spans="2:6" x14ac:dyDescent="0.25">
      <c r="B74" s="133">
        <f t="shared" si="2"/>
        <v>61</v>
      </c>
      <c r="C74" s="131">
        <f t="shared" si="0"/>
        <v>102544.33015588402</v>
      </c>
      <c r="D74" s="131">
        <f t="shared" si="1"/>
        <v>36976.546372363548</v>
      </c>
      <c r="E74" s="135">
        <f t="shared" si="3"/>
        <v>65567.78378352047</v>
      </c>
      <c r="F74" s="135">
        <f t="shared" si="4"/>
        <v>2892555.9260055628</v>
      </c>
    </row>
    <row r="75" spans="2:6" x14ac:dyDescent="0.25">
      <c r="B75" s="133">
        <f t="shared" si="2"/>
        <v>62</v>
      </c>
      <c r="C75" s="131">
        <f t="shared" si="0"/>
        <v>102544.33015588402</v>
      </c>
      <c r="D75" s="131">
        <f t="shared" si="1"/>
        <v>36156.94907506954</v>
      </c>
      <c r="E75" s="135">
        <f t="shared" si="3"/>
        <v>66387.381080814477</v>
      </c>
      <c r="F75" s="135">
        <f t="shared" si="4"/>
        <v>2826168.5449247481</v>
      </c>
    </row>
    <row r="76" spans="2:6" x14ac:dyDescent="0.25">
      <c r="B76" s="133">
        <f t="shared" si="2"/>
        <v>63</v>
      </c>
      <c r="C76" s="131">
        <f t="shared" si="0"/>
        <v>102544.33015588402</v>
      </c>
      <c r="D76" s="131">
        <f t="shared" si="1"/>
        <v>35327.106811559359</v>
      </c>
      <c r="E76" s="135">
        <f t="shared" si="3"/>
        <v>67217.223344324651</v>
      </c>
      <c r="F76" s="135">
        <f t="shared" si="4"/>
        <v>2758951.3215804235</v>
      </c>
    </row>
    <row r="77" spans="2:6" x14ac:dyDescent="0.25">
      <c r="B77" s="133">
        <f t="shared" si="2"/>
        <v>64</v>
      </c>
      <c r="C77" s="131">
        <f t="shared" si="0"/>
        <v>102544.33015588402</v>
      </c>
      <c r="D77" s="131">
        <f t="shared" si="1"/>
        <v>34486.8915197553</v>
      </c>
      <c r="E77" s="135">
        <f t="shared" si="3"/>
        <v>68057.438636128718</v>
      </c>
      <c r="F77" s="135">
        <f t="shared" si="4"/>
        <v>2690893.8829442947</v>
      </c>
    </row>
    <row r="78" spans="2:6" x14ac:dyDescent="0.25">
      <c r="B78" s="133">
        <f t="shared" si="2"/>
        <v>65</v>
      </c>
      <c r="C78" s="131">
        <f t="shared" ref="C78:C133" si="5">IF(($B$7*$B$9)&gt;=$B78,B$10,0)</f>
        <v>102544.33015588402</v>
      </c>
      <c r="D78" s="131">
        <f t="shared" ref="D78:D133" si="6">IFERROR(IPMT($B$8/$B$9,$B78,B$7*$B$9,-$B$6),0)</f>
        <v>33636.173536803697</v>
      </c>
      <c r="E78" s="135">
        <f t="shared" si="3"/>
        <v>68908.156619080313</v>
      </c>
      <c r="F78" s="135">
        <f t="shared" si="4"/>
        <v>2621985.7263252144</v>
      </c>
    </row>
    <row r="79" spans="2:6" x14ac:dyDescent="0.25">
      <c r="B79" s="133">
        <f t="shared" ref="B79:B133" si="7">B78+1</f>
        <v>66</v>
      </c>
      <c r="C79" s="131">
        <f t="shared" si="5"/>
        <v>102544.33015588402</v>
      </c>
      <c r="D79" s="131">
        <f t="shared" si="6"/>
        <v>32774.821579065196</v>
      </c>
      <c r="E79" s="135">
        <f t="shared" ref="E79:E133" si="8">C79-D79</f>
        <v>69769.508576818829</v>
      </c>
      <c r="F79" s="135">
        <f t="shared" ref="F79:F133" si="9">F78-E79</f>
        <v>2552216.2177483956</v>
      </c>
    </row>
    <row r="80" spans="2:6" x14ac:dyDescent="0.25">
      <c r="B80" s="133">
        <f t="shared" si="7"/>
        <v>67</v>
      </c>
      <c r="C80" s="131">
        <f t="shared" si="5"/>
        <v>102544.33015588402</v>
      </c>
      <c r="D80" s="131">
        <f t="shared" si="6"/>
        <v>31902.702721854959</v>
      </c>
      <c r="E80" s="135">
        <f t="shared" si="8"/>
        <v>70641.627434029055</v>
      </c>
      <c r="F80" s="135">
        <f t="shared" si="9"/>
        <v>2481574.5903143664</v>
      </c>
    </row>
    <row r="81" spans="2:6" x14ac:dyDescent="0.25">
      <c r="B81" s="133">
        <f t="shared" si="7"/>
        <v>68</v>
      </c>
      <c r="C81" s="131">
        <f t="shared" si="5"/>
        <v>102544.33015588402</v>
      </c>
      <c r="D81" s="131">
        <f t="shared" si="6"/>
        <v>31019.682378929596</v>
      </c>
      <c r="E81" s="135">
        <f t="shared" si="8"/>
        <v>71524.647776954429</v>
      </c>
      <c r="F81" s="135">
        <f t="shared" si="9"/>
        <v>2410049.942537412</v>
      </c>
    </row>
    <row r="82" spans="2:6" x14ac:dyDescent="0.25">
      <c r="B82" s="133">
        <f t="shared" si="7"/>
        <v>69</v>
      </c>
      <c r="C82" s="131">
        <f t="shared" si="5"/>
        <v>102544.33015588402</v>
      </c>
      <c r="D82" s="131">
        <f t="shared" si="6"/>
        <v>30125.624281717661</v>
      </c>
      <c r="E82" s="135">
        <f t="shared" si="8"/>
        <v>72418.705874166364</v>
      </c>
      <c r="F82" s="135">
        <f t="shared" si="9"/>
        <v>2337631.2366632456</v>
      </c>
    </row>
    <row r="83" spans="2:6" x14ac:dyDescent="0.25">
      <c r="B83" s="133">
        <f t="shared" si="7"/>
        <v>70</v>
      </c>
      <c r="C83" s="131">
        <f t="shared" si="5"/>
        <v>102544.33015588402</v>
      </c>
      <c r="D83" s="131">
        <f t="shared" si="6"/>
        <v>29220.390458290585</v>
      </c>
      <c r="E83" s="135">
        <f t="shared" si="8"/>
        <v>73323.939697593436</v>
      </c>
      <c r="F83" s="135">
        <f t="shared" si="9"/>
        <v>2264307.2969656521</v>
      </c>
    </row>
    <row r="84" spans="2:6" x14ac:dyDescent="0.25">
      <c r="B84" s="133">
        <f t="shared" si="7"/>
        <v>71</v>
      </c>
      <c r="C84" s="131">
        <f t="shared" si="5"/>
        <v>102544.33015588402</v>
      </c>
      <c r="D84" s="131">
        <f t="shared" si="6"/>
        <v>28303.841212070667</v>
      </c>
      <c r="E84" s="135">
        <f t="shared" si="8"/>
        <v>74240.488943813354</v>
      </c>
      <c r="F84" s="135">
        <f t="shared" si="9"/>
        <v>2190066.8080218388</v>
      </c>
    </row>
    <row r="85" spans="2:6" x14ac:dyDescent="0.25">
      <c r="B85" s="133">
        <f t="shared" si="7"/>
        <v>72</v>
      </c>
      <c r="C85" s="131">
        <f t="shared" si="5"/>
        <v>102544.33015588402</v>
      </c>
      <c r="D85" s="131">
        <f t="shared" si="6"/>
        <v>27375.835100273005</v>
      </c>
      <c r="E85" s="135">
        <f t="shared" si="8"/>
        <v>75168.495055611013</v>
      </c>
      <c r="F85" s="135">
        <f t="shared" si="9"/>
        <v>2114898.3129662275</v>
      </c>
    </row>
    <row r="86" spans="2:6" x14ac:dyDescent="0.25">
      <c r="B86" s="133">
        <f t="shared" si="7"/>
        <v>73</v>
      </c>
      <c r="C86" s="131">
        <f t="shared" si="5"/>
        <v>102544.33015588402</v>
      </c>
      <c r="D86" s="131">
        <f t="shared" si="6"/>
        <v>26436.228912077866</v>
      </c>
      <c r="E86" s="135">
        <f t="shared" si="8"/>
        <v>76108.101243806159</v>
      </c>
      <c r="F86" s="135">
        <f t="shared" si="9"/>
        <v>2038790.2117224215</v>
      </c>
    </row>
    <row r="87" spans="2:6" x14ac:dyDescent="0.25">
      <c r="B87" s="133">
        <f t="shared" si="7"/>
        <v>74</v>
      </c>
      <c r="C87" s="131">
        <f t="shared" si="5"/>
        <v>102544.33015588402</v>
      </c>
      <c r="D87" s="131">
        <f t="shared" si="6"/>
        <v>25484.877646530284</v>
      </c>
      <c r="E87" s="135">
        <f t="shared" si="8"/>
        <v>77059.452509353738</v>
      </c>
      <c r="F87" s="135">
        <f t="shared" si="9"/>
        <v>1961730.7592130678</v>
      </c>
    </row>
    <row r="88" spans="2:6" x14ac:dyDescent="0.25">
      <c r="B88" s="133">
        <f t="shared" si="7"/>
        <v>75</v>
      </c>
      <c r="C88" s="131">
        <f t="shared" si="5"/>
        <v>102544.33015588402</v>
      </c>
      <c r="D88" s="131">
        <f t="shared" si="6"/>
        <v>24521.634490163364</v>
      </c>
      <c r="E88" s="135">
        <f t="shared" si="8"/>
        <v>78022.695665720647</v>
      </c>
      <c r="F88" s="135">
        <f t="shared" si="9"/>
        <v>1883708.0635473472</v>
      </c>
    </row>
    <row r="89" spans="2:6" x14ac:dyDescent="0.25">
      <c r="B89" s="133">
        <f t="shared" si="7"/>
        <v>76</v>
      </c>
      <c r="C89" s="131">
        <f t="shared" si="5"/>
        <v>102544.33015588402</v>
      </c>
      <c r="D89" s="131">
        <f t="shared" si="6"/>
        <v>23546.350794341852</v>
      </c>
      <c r="E89" s="135">
        <f t="shared" si="8"/>
        <v>78997.979361542166</v>
      </c>
      <c r="F89" s="135">
        <f t="shared" si="9"/>
        <v>1804710.0841858049</v>
      </c>
    </row>
    <row r="90" spans="2:6" x14ac:dyDescent="0.25">
      <c r="B90" s="133">
        <f t="shared" si="7"/>
        <v>77</v>
      </c>
      <c r="C90" s="131">
        <f t="shared" si="5"/>
        <v>102544.33015588402</v>
      </c>
      <c r="D90" s="131">
        <f t="shared" si="6"/>
        <v>22558.876052322576</v>
      </c>
      <c r="E90" s="135">
        <f t="shared" si="8"/>
        <v>79985.454103561438</v>
      </c>
      <c r="F90" s="135">
        <f t="shared" si="9"/>
        <v>1724724.6300822436</v>
      </c>
    </row>
    <row r="91" spans="2:6" x14ac:dyDescent="0.25">
      <c r="B91" s="133">
        <f t="shared" si="7"/>
        <v>78</v>
      </c>
      <c r="C91" s="131">
        <f t="shared" si="5"/>
        <v>102544.33015588402</v>
      </c>
      <c r="D91" s="131">
        <f t="shared" si="6"/>
        <v>21559.057876028062</v>
      </c>
      <c r="E91" s="135">
        <f t="shared" si="8"/>
        <v>80985.272279855955</v>
      </c>
      <c r="F91" s="135">
        <f t="shared" si="9"/>
        <v>1643739.3578023876</v>
      </c>
    </row>
    <row r="92" spans="2:6" x14ac:dyDescent="0.25">
      <c r="B92" s="133">
        <f t="shared" si="7"/>
        <v>79</v>
      </c>
      <c r="C92" s="131">
        <f t="shared" si="5"/>
        <v>102544.33015588402</v>
      </c>
      <c r="D92" s="131">
        <f t="shared" si="6"/>
        <v>20546.741972529861</v>
      </c>
      <c r="E92" s="135">
        <f t="shared" si="8"/>
        <v>81997.58818335415</v>
      </c>
      <c r="F92" s="135">
        <f t="shared" si="9"/>
        <v>1561741.7696190334</v>
      </c>
    </row>
    <row r="93" spans="2:6" x14ac:dyDescent="0.25">
      <c r="B93" s="133">
        <f t="shared" si="7"/>
        <v>80</v>
      </c>
      <c r="C93" s="131">
        <f t="shared" si="5"/>
        <v>102544.33015588402</v>
      </c>
      <c r="D93" s="131">
        <f t="shared" si="6"/>
        <v>19521.772120237933</v>
      </c>
      <c r="E93" s="135">
        <f t="shared" si="8"/>
        <v>83022.558035646085</v>
      </c>
      <c r="F93" s="135">
        <f t="shared" si="9"/>
        <v>1478719.2115833873</v>
      </c>
    </row>
    <row r="94" spans="2:6" x14ac:dyDescent="0.25">
      <c r="B94" s="133">
        <f t="shared" si="7"/>
        <v>81</v>
      </c>
      <c r="C94" s="131">
        <f t="shared" si="5"/>
        <v>102544.33015588402</v>
      </c>
      <c r="D94" s="131">
        <f t="shared" si="6"/>
        <v>18483.990144792362</v>
      </c>
      <c r="E94" s="135">
        <f t="shared" si="8"/>
        <v>84060.340011091655</v>
      </c>
      <c r="F94" s="135">
        <f t="shared" si="9"/>
        <v>1394658.8715722957</v>
      </c>
    </row>
    <row r="95" spans="2:6" x14ac:dyDescent="0.25">
      <c r="B95" s="133">
        <f t="shared" si="7"/>
        <v>82</v>
      </c>
      <c r="C95" s="131">
        <f t="shared" si="5"/>
        <v>102544.33015588402</v>
      </c>
      <c r="D95" s="131">
        <f t="shared" si="6"/>
        <v>17433.235894653713</v>
      </c>
      <c r="E95" s="135">
        <f t="shared" si="8"/>
        <v>85111.094261230304</v>
      </c>
      <c r="F95" s="135">
        <f t="shared" si="9"/>
        <v>1309547.7773110655</v>
      </c>
    </row>
    <row r="96" spans="2:6" x14ac:dyDescent="0.25">
      <c r="B96" s="133">
        <f t="shared" si="7"/>
        <v>83</v>
      </c>
      <c r="C96" s="131">
        <f t="shared" si="5"/>
        <v>102544.33015588402</v>
      </c>
      <c r="D96" s="131">
        <f t="shared" si="6"/>
        <v>16369.347216388334</v>
      </c>
      <c r="E96" s="135">
        <f t="shared" si="8"/>
        <v>86174.982939495676</v>
      </c>
      <c r="F96" s="135">
        <f t="shared" si="9"/>
        <v>1223372.7943715698</v>
      </c>
    </row>
    <row r="97" spans="2:6" x14ac:dyDescent="0.25">
      <c r="B97" s="133">
        <f t="shared" si="7"/>
        <v>84</v>
      </c>
      <c r="C97" s="131">
        <f t="shared" si="5"/>
        <v>102544.33015588402</v>
      </c>
      <c r="D97" s="131">
        <f t="shared" si="6"/>
        <v>15292.159929644638</v>
      </c>
      <c r="E97" s="135">
        <f t="shared" si="8"/>
        <v>87252.170226239381</v>
      </c>
      <c r="F97" s="135">
        <f t="shared" si="9"/>
        <v>1136120.6241453304</v>
      </c>
    </row>
    <row r="98" spans="2:6" x14ac:dyDescent="0.25">
      <c r="B98" s="133">
        <f t="shared" si="7"/>
        <v>85</v>
      </c>
      <c r="C98" s="131">
        <f t="shared" si="5"/>
        <v>102544.33015588402</v>
      </c>
      <c r="D98" s="131">
        <f t="shared" si="6"/>
        <v>14201.50780181665</v>
      </c>
      <c r="E98" s="135">
        <f t="shared" si="8"/>
        <v>88342.822354067364</v>
      </c>
      <c r="F98" s="135">
        <f t="shared" si="9"/>
        <v>1047777.801791263</v>
      </c>
    </row>
    <row r="99" spans="2:6" x14ac:dyDescent="0.25">
      <c r="B99" s="133">
        <f t="shared" si="7"/>
        <v>86</v>
      </c>
      <c r="C99" s="131">
        <f t="shared" si="5"/>
        <v>102544.33015588402</v>
      </c>
      <c r="D99" s="131">
        <f t="shared" si="6"/>
        <v>13097.222522390806</v>
      </c>
      <c r="E99" s="135">
        <f t="shared" si="8"/>
        <v>89447.107633493215</v>
      </c>
      <c r="F99" s="135">
        <f t="shared" si="9"/>
        <v>958330.69415776979</v>
      </c>
    </row>
    <row r="100" spans="2:6" x14ac:dyDescent="0.25">
      <c r="B100" s="133">
        <f t="shared" si="7"/>
        <v>87</v>
      </c>
      <c r="C100" s="131">
        <f t="shared" si="5"/>
        <v>102544.33015588402</v>
      </c>
      <c r="D100" s="131">
        <f t="shared" si="6"/>
        <v>11979.133676972138</v>
      </c>
      <c r="E100" s="135">
        <f t="shared" si="8"/>
        <v>90565.196478911879</v>
      </c>
      <c r="F100" s="135">
        <f t="shared" si="9"/>
        <v>867765.49767885788</v>
      </c>
    </row>
    <row r="101" spans="2:6" x14ac:dyDescent="0.25">
      <c r="B101" s="133">
        <f t="shared" si="7"/>
        <v>88</v>
      </c>
      <c r="C101" s="131">
        <f t="shared" si="5"/>
        <v>102544.33015588402</v>
      </c>
      <c r="D101" s="131">
        <f t="shared" si="6"/>
        <v>10847.068720985742</v>
      </c>
      <c r="E101" s="135">
        <f t="shared" si="8"/>
        <v>91697.261434898275</v>
      </c>
      <c r="F101" s="135">
        <f t="shared" si="9"/>
        <v>776068.23624395963</v>
      </c>
    </row>
    <row r="102" spans="2:6" x14ac:dyDescent="0.25">
      <c r="B102" s="133">
        <f t="shared" si="7"/>
        <v>89</v>
      </c>
      <c r="C102" s="131">
        <f t="shared" si="5"/>
        <v>102544.33015588402</v>
      </c>
      <c r="D102" s="131">
        <f t="shared" si="6"/>
        <v>9700.8529530495143</v>
      </c>
      <c r="E102" s="135">
        <f t="shared" si="8"/>
        <v>92843.477202834503</v>
      </c>
      <c r="F102" s="135">
        <f t="shared" si="9"/>
        <v>683224.75904112519</v>
      </c>
    </row>
    <row r="103" spans="2:6" x14ac:dyDescent="0.25">
      <c r="B103" s="133">
        <f t="shared" si="7"/>
        <v>90</v>
      </c>
      <c r="C103" s="131">
        <f t="shared" si="5"/>
        <v>102544.33015588402</v>
      </c>
      <c r="D103" s="131">
        <f t="shared" si="6"/>
        <v>8540.3094880140852</v>
      </c>
      <c r="E103" s="135">
        <f t="shared" si="8"/>
        <v>94004.020667869932</v>
      </c>
      <c r="F103" s="135">
        <f t="shared" si="9"/>
        <v>589220.73837325524</v>
      </c>
    </row>
    <row r="104" spans="2:6" x14ac:dyDescent="0.25">
      <c r="B104" s="133">
        <f t="shared" si="7"/>
        <v>91</v>
      </c>
      <c r="C104" s="131">
        <f t="shared" si="5"/>
        <v>102544.33015588402</v>
      </c>
      <c r="D104" s="131">
        <f t="shared" si="6"/>
        <v>7365.2592296657085</v>
      </c>
      <c r="E104" s="135">
        <f t="shared" si="8"/>
        <v>95179.070926218308</v>
      </c>
      <c r="F104" s="135">
        <f t="shared" si="9"/>
        <v>494041.66744703695</v>
      </c>
    </row>
    <row r="105" spans="2:6" x14ac:dyDescent="0.25">
      <c r="B105" s="133">
        <f t="shared" si="7"/>
        <v>92</v>
      </c>
      <c r="C105" s="131">
        <f t="shared" si="5"/>
        <v>102544.33015588402</v>
      </c>
      <c r="D105" s="131">
        <f t="shared" si="6"/>
        <v>6175.5208430879793</v>
      </c>
      <c r="E105" s="135">
        <f t="shared" si="8"/>
        <v>96368.809312796046</v>
      </c>
      <c r="F105" s="135">
        <f t="shared" si="9"/>
        <v>397672.8581342409</v>
      </c>
    </row>
    <row r="106" spans="2:6" x14ac:dyDescent="0.25">
      <c r="B106" s="133">
        <f t="shared" si="7"/>
        <v>93</v>
      </c>
      <c r="C106" s="131">
        <f t="shared" si="5"/>
        <v>102544.33015588402</v>
      </c>
      <c r="D106" s="131">
        <f t="shared" si="6"/>
        <v>4970.9107266780302</v>
      </c>
      <c r="E106" s="135">
        <f t="shared" si="8"/>
        <v>97573.419429205984</v>
      </c>
      <c r="F106" s="135">
        <f t="shared" si="9"/>
        <v>300099.4387050349</v>
      </c>
    </row>
    <row r="107" spans="2:6" x14ac:dyDescent="0.25">
      <c r="B107" s="133">
        <f t="shared" si="7"/>
        <v>94</v>
      </c>
      <c r="C107" s="131">
        <f t="shared" si="5"/>
        <v>102544.33015588402</v>
      </c>
      <c r="D107" s="131">
        <f t="shared" si="6"/>
        <v>3751.2429838129556</v>
      </c>
      <c r="E107" s="135">
        <f t="shared" si="8"/>
        <v>98793.087172071057</v>
      </c>
      <c r="F107" s="135">
        <f t="shared" si="9"/>
        <v>201306.35153296386</v>
      </c>
    </row>
    <row r="108" spans="2:6" x14ac:dyDescent="0.25">
      <c r="B108" s="133">
        <f t="shared" si="7"/>
        <v>95</v>
      </c>
      <c r="C108" s="131">
        <f t="shared" si="5"/>
        <v>102544.33015588402</v>
      </c>
      <c r="D108" s="131">
        <f t="shared" si="6"/>
        <v>2516.3293941620673</v>
      </c>
      <c r="E108" s="135">
        <f t="shared" si="8"/>
        <v>100028.00076172195</v>
      </c>
      <c r="F108" s="135">
        <f t="shared" si="9"/>
        <v>101278.35077124191</v>
      </c>
    </row>
    <row r="109" spans="2:6" x14ac:dyDescent="0.25">
      <c r="B109" s="133">
        <f t="shared" si="7"/>
        <v>96</v>
      </c>
      <c r="C109" s="131">
        <f t="shared" si="5"/>
        <v>102544.33015588402</v>
      </c>
      <c r="D109" s="131">
        <f t="shared" si="6"/>
        <v>1265.9793846405432</v>
      </c>
      <c r="E109" s="135">
        <f t="shared" si="8"/>
        <v>101278.35077124348</v>
      </c>
      <c r="F109" s="135">
        <f t="shared" si="9"/>
        <v>-1.57160684466362E-9</v>
      </c>
    </row>
    <row r="110" spans="2:6" x14ac:dyDescent="0.25">
      <c r="B110" s="133">
        <f t="shared" si="7"/>
        <v>97</v>
      </c>
      <c r="C110" s="131">
        <f t="shared" si="5"/>
        <v>0</v>
      </c>
      <c r="D110" s="131">
        <f t="shared" si="6"/>
        <v>0</v>
      </c>
      <c r="E110" s="135">
        <f t="shared" si="8"/>
        <v>0</v>
      </c>
      <c r="F110" s="135">
        <f t="shared" si="9"/>
        <v>-1.57160684466362E-9</v>
      </c>
    </row>
    <row r="111" spans="2:6" x14ac:dyDescent="0.25">
      <c r="B111" s="133">
        <f t="shared" si="7"/>
        <v>98</v>
      </c>
      <c r="C111" s="131">
        <f t="shared" si="5"/>
        <v>0</v>
      </c>
      <c r="D111" s="131">
        <f t="shared" si="6"/>
        <v>0</v>
      </c>
      <c r="E111" s="135">
        <f t="shared" si="8"/>
        <v>0</v>
      </c>
      <c r="F111" s="135">
        <f t="shared" si="9"/>
        <v>-1.57160684466362E-9</v>
      </c>
    </row>
    <row r="112" spans="2:6" x14ac:dyDescent="0.25">
      <c r="B112" s="133">
        <f t="shared" si="7"/>
        <v>99</v>
      </c>
      <c r="C112" s="131">
        <f t="shared" si="5"/>
        <v>0</v>
      </c>
      <c r="D112" s="131">
        <f t="shared" si="6"/>
        <v>0</v>
      </c>
      <c r="E112" s="135">
        <f t="shared" si="8"/>
        <v>0</v>
      </c>
      <c r="F112" s="135">
        <f t="shared" si="9"/>
        <v>-1.57160684466362E-9</v>
      </c>
    </row>
    <row r="113" spans="2:6" x14ac:dyDescent="0.25">
      <c r="B113" s="133">
        <f t="shared" si="7"/>
        <v>100</v>
      </c>
      <c r="C113" s="131">
        <f t="shared" si="5"/>
        <v>0</v>
      </c>
      <c r="D113" s="131">
        <f t="shared" si="6"/>
        <v>0</v>
      </c>
      <c r="E113" s="135">
        <f t="shared" si="8"/>
        <v>0</v>
      </c>
      <c r="F113" s="135">
        <f t="shared" si="9"/>
        <v>-1.57160684466362E-9</v>
      </c>
    </row>
    <row r="114" spans="2:6" x14ac:dyDescent="0.25">
      <c r="B114" s="133">
        <f t="shared" si="7"/>
        <v>101</v>
      </c>
      <c r="C114" s="131">
        <f t="shared" si="5"/>
        <v>0</v>
      </c>
      <c r="D114" s="131">
        <f t="shared" si="6"/>
        <v>0</v>
      </c>
      <c r="E114" s="135">
        <f t="shared" si="8"/>
        <v>0</v>
      </c>
      <c r="F114" s="135">
        <f t="shared" si="9"/>
        <v>-1.57160684466362E-9</v>
      </c>
    </row>
    <row r="115" spans="2:6" x14ac:dyDescent="0.25">
      <c r="B115" s="133">
        <f t="shared" si="7"/>
        <v>102</v>
      </c>
      <c r="C115" s="131">
        <f t="shared" si="5"/>
        <v>0</v>
      </c>
      <c r="D115" s="131">
        <f t="shared" si="6"/>
        <v>0</v>
      </c>
      <c r="E115" s="135">
        <f t="shared" si="8"/>
        <v>0</v>
      </c>
      <c r="F115" s="135">
        <f t="shared" si="9"/>
        <v>-1.57160684466362E-9</v>
      </c>
    </row>
    <row r="116" spans="2:6" x14ac:dyDescent="0.25">
      <c r="B116" s="133">
        <f t="shared" si="7"/>
        <v>103</v>
      </c>
      <c r="C116" s="131">
        <f t="shared" si="5"/>
        <v>0</v>
      </c>
      <c r="D116" s="131">
        <f t="shared" si="6"/>
        <v>0</v>
      </c>
      <c r="E116" s="135">
        <f t="shared" si="8"/>
        <v>0</v>
      </c>
      <c r="F116" s="135">
        <f t="shared" si="9"/>
        <v>-1.57160684466362E-9</v>
      </c>
    </row>
    <row r="117" spans="2:6" x14ac:dyDescent="0.25">
      <c r="B117" s="133">
        <f t="shared" si="7"/>
        <v>104</v>
      </c>
      <c r="C117" s="131">
        <f t="shared" si="5"/>
        <v>0</v>
      </c>
      <c r="D117" s="131">
        <f t="shared" si="6"/>
        <v>0</v>
      </c>
      <c r="E117" s="135">
        <f t="shared" si="8"/>
        <v>0</v>
      </c>
      <c r="F117" s="135">
        <f t="shared" si="9"/>
        <v>-1.57160684466362E-9</v>
      </c>
    </row>
    <row r="118" spans="2:6" x14ac:dyDescent="0.25">
      <c r="B118" s="133">
        <f t="shared" si="7"/>
        <v>105</v>
      </c>
      <c r="C118" s="131">
        <f t="shared" si="5"/>
        <v>0</v>
      </c>
      <c r="D118" s="131">
        <f t="shared" si="6"/>
        <v>0</v>
      </c>
      <c r="E118" s="135">
        <f t="shared" si="8"/>
        <v>0</v>
      </c>
      <c r="F118" s="135">
        <f t="shared" si="9"/>
        <v>-1.57160684466362E-9</v>
      </c>
    </row>
    <row r="119" spans="2:6" x14ac:dyDescent="0.25">
      <c r="B119" s="133">
        <f t="shared" si="7"/>
        <v>106</v>
      </c>
      <c r="C119" s="131">
        <f t="shared" si="5"/>
        <v>0</v>
      </c>
      <c r="D119" s="131">
        <f t="shared" si="6"/>
        <v>0</v>
      </c>
      <c r="E119" s="135">
        <f t="shared" si="8"/>
        <v>0</v>
      </c>
      <c r="F119" s="135">
        <f t="shared" si="9"/>
        <v>-1.57160684466362E-9</v>
      </c>
    </row>
    <row r="120" spans="2:6" x14ac:dyDescent="0.25">
      <c r="B120" s="133">
        <f t="shared" si="7"/>
        <v>107</v>
      </c>
      <c r="C120" s="131">
        <f t="shared" si="5"/>
        <v>0</v>
      </c>
      <c r="D120" s="131">
        <f t="shared" si="6"/>
        <v>0</v>
      </c>
      <c r="E120" s="135">
        <f t="shared" si="8"/>
        <v>0</v>
      </c>
      <c r="F120" s="135">
        <f t="shared" si="9"/>
        <v>-1.57160684466362E-9</v>
      </c>
    </row>
    <row r="121" spans="2:6" x14ac:dyDescent="0.25">
      <c r="B121" s="133">
        <f t="shared" si="7"/>
        <v>108</v>
      </c>
      <c r="C121" s="131">
        <f t="shared" si="5"/>
        <v>0</v>
      </c>
      <c r="D121" s="131">
        <f t="shared" si="6"/>
        <v>0</v>
      </c>
      <c r="E121" s="135">
        <f t="shared" si="8"/>
        <v>0</v>
      </c>
      <c r="F121" s="135">
        <f t="shared" si="9"/>
        <v>-1.57160684466362E-9</v>
      </c>
    </row>
    <row r="122" spans="2:6" x14ac:dyDescent="0.25">
      <c r="B122" s="133">
        <f t="shared" si="7"/>
        <v>109</v>
      </c>
      <c r="C122" s="131">
        <f t="shared" si="5"/>
        <v>0</v>
      </c>
      <c r="D122" s="131">
        <f t="shared" si="6"/>
        <v>0</v>
      </c>
      <c r="E122" s="135">
        <f t="shared" si="8"/>
        <v>0</v>
      </c>
      <c r="F122" s="135">
        <f t="shared" si="9"/>
        <v>-1.57160684466362E-9</v>
      </c>
    </row>
    <row r="123" spans="2:6" x14ac:dyDescent="0.25">
      <c r="B123" s="133">
        <f t="shared" si="7"/>
        <v>110</v>
      </c>
      <c r="C123" s="131">
        <f t="shared" si="5"/>
        <v>0</v>
      </c>
      <c r="D123" s="131">
        <f t="shared" si="6"/>
        <v>0</v>
      </c>
      <c r="E123" s="135">
        <f t="shared" si="8"/>
        <v>0</v>
      </c>
      <c r="F123" s="135">
        <f t="shared" si="9"/>
        <v>-1.57160684466362E-9</v>
      </c>
    </row>
    <row r="124" spans="2:6" x14ac:dyDescent="0.25">
      <c r="B124" s="133">
        <f t="shared" si="7"/>
        <v>111</v>
      </c>
      <c r="C124" s="131">
        <f t="shared" si="5"/>
        <v>0</v>
      </c>
      <c r="D124" s="131">
        <f t="shared" si="6"/>
        <v>0</v>
      </c>
      <c r="E124" s="135">
        <f t="shared" si="8"/>
        <v>0</v>
      </c>
      <c r="F124" s="135">
        <f t="shared" si="9"/>
        <v>-1.57160684466362E-9</v>
      </c>
    </row>
    <row r="125" spans="2:6" x14ac:dyDescent="0.25">
      <c r="B125" s="133">
        <f t="shared" si="7"/>
        <v>112</v>
      </c>
      <c r="C125" s="131">
        <f t="shared" si="5"/>
        <v>0</v>
      </c>
      <c r="D125" s="131">
        <f t="shared" si="6"/>
        <v>0</v>
      </c>
      <c r="E125" s="135">
        <f t="shared" si="8"/>
        <v>0</v>
      </c>
      <c r="F125" s="135">
        <f t="shared" si="9"/>
        <v>-1.57160684466362E-9</v>
      </c>
    </row>
    <row r="126" spans="2:6" x14ac:dyDescent="0.25">
      <c r="B126" s="133">
        <f t="shared" si="7"/>
        <v>113</v>
      </c>
      <c r="C126" s="131">
        <f t="shared" si="5"/>
        <v>0</v>
      </c>
      <c r="D126" s="131">
        <f t="shared" si="6"/>
        <v>0</v>
      </c>
      <c r="E126" s="135">
        <f t="shared" si="8"/>
        <v>0</v>
      </c>
      <c r="F126" s="135">
        <f t="shared" si="9"/>
        <v>-1.57160684466362E-9</v>
      </c>
    </row>
    <row r="127" spans="2:6" x14ac:dyDescent="0.25">
      <c r="B127" s="133">
        <f t="shared" si="7"/>
        <v>114</v>
      </c>
      <c r="C127" s="131">
        <f t="shared" si="5"/>
        <v>0</v>
      </c>
      <c r="D127" s="131">
        <f t="shared" si="6"/>
        <v>0</v>
      </c>
      <c r="E127" s="135">
        <f t="shared" si="8"/>
        <v>0</v>
      </c>
      <c r="F127" s="135">
        <f t="shared" si="9"/>
        <v>-1.57160684466362E-9</v>
      </c>
    </row>
    <row r="128" spans="2:6" x14ac:dyDescent="0.25">
      <c r="B128" s="133">
        <f t="shared" si="7"/>
        <v>115</v>
      </c>
      <c r="C128" s="131">
        <f t="shared" si="5"/>
        <v>0</v>
      </c>
      <c r="D128" s="131">
        <f t="shared" si="6"/>
        <v>0</v>
      </c>
      <c r="E128" s="135">
        <f t="shared" si="8"/>
        <v>0</v>
      </c>
      <c r="F128" s="135">
        <f t="shared" si="9"/>
        <v>-1.57160684466362E-9</v>
      </c>
    </row>
    <row r="129" spans="2:6" x14ac:dyDescent="0.25">
      <c r="B129" s="133">
        <f t="shared" si="7"/>
        <v>116</v>
      </c>
      <c r="C129" s="131">
        <f t="shared" si="5"/>
        <v>0</v>
      </c>
      <c r="D129" s="131">
        <f t="shared" si="6"/>
        <v>0</v>
      </c>
      <c r="E129" s="135">
        <f t="shared" si="8"/>
        <v>0</v>
      </c>
      <c r="F129" s="135">
        <f t="shared" si="9"/>
        <v>-1.57160684466362E-9</v>
      </c>
    </row>
    <row r="130" spans="2:6" x14ac:dyDescent="0.25">
      <c r="B130" s="133">
        <f t="shared" si="7"/>
        <v>117</v>
      </c>
      <c r="C130" s="131">
        <f t="shared" si="5"/>
        <v>0</v>
      </c>
      <c r="D130" s="131">
        <f t="shared" si="6"/>
        <v>0</v>
      </c>
      <c r="E130" s="135">
        <f t="shared" si="8"/>
        <v>0</v>
      </c>
      <c r="F130" s="135">
        <f t="shared" si="9"/>
        <v>-1.57160684466362E-9</v>
      </c>
    </row>
    <row r="131" spans="2:6" x14ac:dyDescent="0.25">
      <c r="B131" s="133">
        <f t="shared" si="7"/>
        <v>118</v>
      </c>
      <c r="C131" s="131">
        <f t="shared" si="5"/>
        <v>0</v>
      </c>
      <c r="D131" s="131">
        <f t="shared" si="6"/>
        <v>0</v>
      </c>
      <c r="E131" s="135">
        <f t="shared" si="8"/>
        <v>0</v>
      </c>
      <c r="F131" s="135">
        <f t="shared" si="9"/>
        <v>-1.57160684466362E-9</v>
      </c>
    </row>
    <row r="132" spans="2:6" ht="15" customHeight="1" x14ac:dyDescent="0.25">
      <c r="B132" s="133">
        <f t="shared" si="7"/>
        <v>119</v>
      </c>
      <c r="C132" s="131">
        <f t="shared" si="5"/>
        <v>0</v>
      </c>
      <c r="D132" s="131">
        <f t="shared" si="6"/>
        <v>0</v>
      </c>
      <c r="E132" s="135">
        <f t="shared" si="8"/>
        <v>0</v>
      </c>
      <c r="F132" s="135">
        <f t="shared" si="9"/>
        <v>-1.57160684466362E-9</v>
      </c>
    </row>
    <row r="133" spans="2:6" x14ac:dyDescent="0.25">
      <c r="B133" s="133">
        <f t="shared" si="7"/>
        <v>120</v>
      </c>
      <c r="C133" s="131">
        <f t="shared" si="5"/>
        <v>0</v>
      </c>
      <c r="D133" s="131">
        <f t="shared" si="6"/>
        <v>0</v>
      </c>
      <c r="E133" s="135">
        <f t="shared" si="8"/>
        <v>0</v>
      </c>
      <c r="F133" s="135">
        <f t="shared" si="9"/>
        <v>-1.57160684466362E-9</v>
      </c>
    </row>
  </sheetData>
  <sheetProtection algorithmName="SHA-512" hashValue="7rX6Z4/5J+SpGQyMfDt6sZv6MupnhypkgpIblHJFLbwPG/qHQL6i8sqAJnyHHHdseLe+tDY19RmSg6XkYrm17Q==" saltValue="BWldxI6m/uzTwtvIhSoPlg==" spinCount="100000" sheet="1" objects="1" scenarios="1"/>
  <dataValidations disablePrompts="1" count="2">
    <dataValidation type="list" allowBlank="1" showInputMessage="1" showErrorMessage="1" sqref="B7">
      <formula1>$J$8:$J$17</formula1>
    </dataValidation>
    <dataValidation type="list" allowBlank="1" showInputMessage="1" showErrorMessage="1" sqref="B5">
      <formula1>$J$2:$J$3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topLeftCell="A8" workbookViewId="0">
      <selection activeCell="I18" sqref="I18"/>
    </sheetView>
  </sheetViews>
  <sheetFormatPr defaultRowHeight="13.2" x14ac:dyDescent="0.25"/>
  <cols>
    <col min="1" max="1" width="7.33203125" style="1" customWidth="1"/>
    <col min="2" max="2" width="19.21875" style="1" customWidth="1"/>
    <col min="3" max="3" width="11.21875" style="2" customWidth="1"/>
    <col min="4" max="4" width="8.6640625" style="1" customWidth="1"/>
    <col min="5" max="5" width="9.109375" style="1" customWidth="1"/>
    <col min="6" max="6" width="9.44140625" style="1" bestFit="1" customWidth="1"/>
    <col min="7" max="7" width="9" style="1" bestFit="1" customWidth="1"/>
    <col min="8" max="8" width="10.77734375" style="1" customWidth="1"/>
    <col min="9" max="11" width="12.44140625" style="1" customWidth="1"/>
    <col min="12" max="12" width="14.44140625" style="1" customWidth="1"/>
    <col min="13" max="13" width="17.21875" style="1" customWidth="1"/>
    <col min="14" max="16384" width="8.88671875" style="1"/>
  </cols>
  <sheetData>
    <row r="1" spans="1:16" x14ac:dyDescent="0.25">
      <c r="A1" s="1" t="s">
        <v>12</v>
      </c>
      <c r="D1" s="1" t="s">
        <v>116</v>
      </c>
    </row>
    <row r="2" spans="1:16" x14ac:dyDescent="0.25">
      <c r="D2" s="10">
        <v>0.03</v>
      </c>
    </row>
    <row r="3" spans="1:16" x14ac:dyDescent="0.25">
      <c r="B3" s="1" t="s">
        <v>13</v>
      </c>
      <c r="C3" s="3">
        <v>185000</v>
      </c>
      <c r="D3" s="176">
        <f>C3*D2</f>
        <v>5550</v>
      </c>
      <c r="E3" s="176">
        <f>SUM(C3:D3)</f>
        <v>190550</v>
      </c>
    </row>
    <row r="4" spans="1:16" x14ac:dyDescent="0.25">
      <c r="B4" s="1" t="s">
        <v>18</v>
      </c>
      <c r="C4" s="2">
        <v>100</v>
      </c>
    </row>
    <row r="5" spans="1:16" x14ac:dyDescent="0.25">
      <c r="B5" s="1" t="s">
        <v>20</v>
      </c>
      <c r="C5" s="40">
        <v>1.7500000000000002E-2</v>
      </c>
    </row>
    <row r="8" spans="1:16" x14ac:dyDescent="0.25">
      <c r="G8" s="40">
        <f>C5</f>
        <v>1.7500000000000002E-2</v>
      </c>
      <c r="J8" s="10">
        <v>0.12</v>
      </c>
      <c r="L8" s="10">
        <v>0.06</v>
      </c>
      <c r="P8" s="181">
        <v>43282</v>
      </c>
    </row>
    <row r="9" spans="1:16" ht="26.4" x14ac:dyDescent="0.25">
      <c r="B9" s="4" t="s">
        <v>3</v>
      </c>
      <c r="C9" s="5" t="s">
        <v>4</v>
      </c>
      <c r="D9" s="4" t="s">
        <v>5</v>
      </c>
      <c r="E9" s="4" t="s">
        <v>13</v>
      </c>
      <c r="F9" s="4" t="s">
        <v>19</v>
      </c>
      <c r="G9" s="4" t="s">
        <v>17</v>
      </c>
      <c r="H9" s="4" t="s">
        <v>6</v>
      </c>
      <c r="I9" s="4" t="s">
        <v>7</v>
      </c>
      <c r="J9" s="4" t="s">
        <v>8</v>
      </c>
      <c r="K9" s="4" t="s">
        <v>9</v>
      </c>
      <c r="L9" s="4" t="s">
        <v>10</v>
      </c>
      <c r="M9" s="4" t="s">
        <v>11</v>
      </c>
      <c r="P9" s="181">
        <v>43313</v>
      </c>
    </row>
    <row r="10" spans="1:16" x14ac:dyDescent="0.25">
      <c r="B10" s="6">
        <v>615</v>
      </c>
      <c r="C10" s="6" t="s">
        <v>14</v>
      </c>
      <c r="D10" s="7">
        <v>29.16</v>
      </c>
      <c r="E10" s="8">
        <f>$E$3</f>
        <v>190550</v>
      </c>
      <c r="F10" s="8">
        <f>C4</f>
        <v>100</v>
      </c>
      <c r="G10" s="8">
        <f>E10*$G$8</f>
        <v>3334.6250000000005</v>
      </c>
      <c r="H10" s="9">
        <f>ROUND(SUM(E10:G10),2)</f>
        <v>193984.63</v>
      </c>
      <c r="I10" s="8">
        <f>ROUND(H10*D10,-2)</f>
        <v>5656600</v>
      </c>
      <c r="J10" s="9">
        <f>I10*$J$8</f>
        <v>678792</v>
      </c>
      <c r="K10" s="9">
        <f>SUM(I10:J10)</f>
        <v>6335392</v>
      </c>
      <c r="L10" s="8">
        <f>I10*$L$8</f>
        <v>339396</v>
      </c>
      <c r="M10" s="8">
        <f>SUM(K10:L10)</f>
        <v>6674788</v>
      </c>
      <c r="P10" s="181">
        <v>43344</v>
      </c>
    </row>
    <row r="11" spans="1:16" x14ac:dyDescent="0.25">
      <c r="B11" s="6">
        <v>618</v>
      </c>
      <c r="C11" s="6" t="s">
        <v>14</v>
      </c>
      <c r="D11" s="7">
        <v>31.68</v>
      </c>
      <c r="E11" s="8">
        <f t="shared" ref="E11:E22" si="0">$E$3</f>
        <v>190550</v>
      </c>
      <c r="F11" s="8">
        <f>F10</f>
        <v>100</v>
      </c>
      <c r="G11" s="8">
        <f>E11*$G$8</f>
        <v>3334.6250000000005</v>
      </c>
      <c r="H11" s="9">
        <f t="shared" ref="H11:H23" si="1">SUM(E11:G11)</f>
        <v>193984.625</v>
      </c>
      <c r="I11" s="8">
        <f t="shared" ref="I11:I17" si="2">ROUND(H11*D11,-2)</f>
        <v>6145400</v>
      </c>
      <c r="J11" s="9">
        <f t="shared" ref="J11:J25" si="3">I11*$J$8</f>
        <v>737448</v>
      </c>
      <c r="K11" s="9">
        <f t="shared" ref="K11:K25" si="4">SUM(I11:J11)</f>
        <v>6882848</v>
      </c>
      <c r="L11" s="8">
        <f t="shared" ref="L11:L25" si="5">I11*$L$8</f>
        <v>368724</v>
      </c>
      <c r="M11" s="8">
        <f t="shared" ref="M11:M25" si="6">SUM(K11:L11)</f>
        <v>7251572</v>
      </c>
      <c r="P11" s="181">
        <v>43374</v>
      </c>
    </row>
    <row r="12" spans="1:16" x14ac:dyDescent="0.25">
      <c r="B12" s="6">
        <v>1106</v>
      </c>
      <c r="C12" s="6" t="s">
        <v>15</v>
      </c>
      <c r="D12" s="7">
        <v>50.2</v>
      </c>
      <c r="E12" s="8">
        <f t="shared" si="0"/>
        <v>190550</v>
      </c>
      <c r="F12" s="8">
        <f>F11+500</f>
        <v>600</v>
      </c>
      <c r="G12" s="8"/>
      <c r="H12" s="9">
        <f t="shared" si="1"/>
        <v>191150</v>
      </c>
      <c r="I12" s="8">
        <f t="shared" si="2"/>
        <v>9595700</v>
      </c>
      <c r="J12" s="9">
        <f t="shared" si="3"/>
        <v>1151484</v>
      </c>
      <c r="K12" s="9">
        <f t="shared" si="4"/>
        <v>10747184</v>
      </c>
      <c r="L12" s="8">
        <f t="shared" si="5"/>
        <v>575742</v>
      </c>
      <c r="M12" s="8">
        <f t="shared" si="6"/>
        <v>11322926</v>
      </c>
      <c r="P12" s="181">
        <v>43405</v>
      </c>
    </row>
    <row r="13" spans="1:16" x14ac:dyDescent="0.25">
      <c r="B13" s="6">
        <v>2103</v>
      </c>
      <c r="C13" s="6" t="s">
        <v>14</v>
      </c>
      <c r="D13" s="7">
        <v>26.92</v>
      </c>
      <c r="E13" s="8">
        <f t="shared" si="0"/>
        <v>190550</v>
      </c>
      <c r="F13" s="8">
        <v>1500</v>
      </c>
      <c r="G13" s="8">
        <f>E13*$G$8</f>
        <v>3334.6250000000005</v>
      </c>
      <c r="H13" s="9">
        <f t="shared" si="1"/>
        <v>195384.625</v>
      </c>
      <c r="I13" s="8">
        <f t="shared" si="2"/>
        <v>5259800</v>
      </c>
      <c r="J13" s="9">
        <f t="shared" si="3"/>
        <v>631176</v>
      </c>
      <c r="K13" s="9">
        <f t="shared" si="4"/>
        <v>5890976</v>
      </c>
      <c r="L13" s="8">
        <f t="shared" si="5"/>
        <v>315588</v>
      </c>
      <c r="M13" s="8">
        <f t="shared" si="6"/>
        <v>6206564</v>
      </c>
      <c r="P13" s="181">
        <v>43435</v>
      </c>
    </row>
    <row r="14" spans="1:16" x14ac:dyDescent="0.25">
      <c r="B14" s="6">
        <v>2206</v>
      </c>
      <c r="C14" s="6" t="s">
        <v>15</v>
      </c>
      <c r="D14" s="7">
        <v>50.2</v>
      </c>
      <c r="E14" s="8">
        <f t="shared" si="0"/>
        <v>190550</v>
      </c>
      <c r="F14" s="8">
        <f>F13+C4</f>
        <v>1600</v>
      </c>
      <c r="G14" s="8"/>
      <c r="H14" s="9">
        <f t="shared" si="1"/>
        <v>192150</v>
      </c>
      <c r="I14" s="8">
        <f t="shared" si="2"/>
        <v>9645900</v>
      </c>
      <c r="J14" s="9">
        <f t="shared" si="3"/>
        <v>1157508</v>
      </c>
      <c r="K14" s="9">
        <f t="shared" si="4"/>
        <v>10803408</v>
      </c>
      <c r="L14" s="8">
        <f t="shared" si="5"/>
        <v>578754</v>
      </c>
      <c r="M14" s="8">
        <f t="shared" si="6"/>
        <v>11382162</v>
      </c>
      <c r="P14" s="181">
        <v>43466</v>
      </c>
    </row>
    <row r="15" spans="1:16" x14ac:dyDescent="0.25">
      <c r="B15" s="6">
        <v>2406</v>
      </c>
      <c r="C15" s="6" t="s">
        <v>15</v>
      </c>
      <c r="D15" s="7">
        <v>50.2</v>
      </c>
      <c r="E15" s="8">
        <f>$E$3</f>
        <v>190550</v>
      </c>
      <c r="F15" s="8">
        <f>F14+C4+C4</f>
        <v>1800</v>
      </c>
      <c r="G15" s="8"/>
      <c r="H15" s="9">
        <f t="shared" si="1"/>
        <v>192350</v>
      </c>
      <c r="I15" s="8">
        <f t="shared" si="2"/>
        <v>9656000</v>
      </c>
      <c r="J15" s="9">
        <f t="shared" si="3"/>
        <v>1158720</v>
      </c>
      <c r="K15" s="9">
        <f t="shared" si="4"/>
        <v>10814720</v>
      </c>
      <c r="L15" s="8">
        <f t="shared" si="5"/>
        <v>579360</v>
      </c>
      <c r="M15" s="8">
        <f t="shared" si="6"/>
        <v>11394080</v>
      </c>
      <c r="P15" s="181">
        <v>43497</v>
      </c>
    </row>
    <row r="16" spans="1:16" x14ac:dyDescent="0.25">
      <c r="B16" s="6">
        <v>2606</v>
      </c>
      <c r="C16" s="6" t="s">
        <v>15</v>
      </c>
      <c r="D16" s="7">
        <v>50.2</v>
      </c>
      <c r="E16" s="8">
        <f t="shared" si="0"/>
        <v>190550</v>
      </c>
      <c r="F16" s="8">
        <f>F15+C4+C4</f>
        <v>2000</v>
      </c>
      <c r="G16" s="8"/>
      <c r="H16" s="9">
        <f t="shared" si="1"/>
        <v>192550</v>
      </c>
      <c r="I16" s="8">
        <f t="shared" si="2"/>
        <v>9666000</v>
      </c>
      <c r="J16" s="9">
        <f t="shared" si="3"/>
        <v>1159920</v>
      </c>
      <c r="K16" s="9">
        <f t="shared" si="4"/>
        <v>10825920</v>
      </c>
      <c r="L16" s="8">
        <f t="shared" si="5"/>
        <v>579960</v>
      </c>
      <c r="M16" s="8">
        <f t="shared" si="6"/>
        <v>11405880</v>
      </c>
      <c r="P16" s="181">
        <v>43525</v>
      </c>
    </row>
    <row r="17" spans="2:16" x14ac:dyDescent="0.25">
      <c r="B17" s="6">
        <v>2815</v>
      </c>
      <c r="C17" s="6" t="s">
        <v>16</v>
      </c>
      <c r="D17" s="7">
        <v>34.049999999999997</v>
      </c>
      <c r="E17" s="8">
        <f t="shared" si="0"/>
        <v>190550</v>
      </c>
      <c r="F17" s="8">
        <f>F16+C4+C4</f>
        <v>2200</v>
      </c>
      <c r="G17" s="8"/>
      <c r="H17" s="9">
        <f t="shared" si="1"/>
        <v>192750</v>
      </c>
      <c r="I17" s="8">
        <f t="shared" si="2"/>
        <v>6563100</v>
      </c>
      <c r="J17" s="9">
        <f t="shared" si="3"/>
        <v>787572</v>
      </c>
      <c r="K17" s="9">
        <f t="shared" si="4"/>
        <v>7350672</v>
      </c>
      <c r="L17" s="8">
        <f t="shared" si="5"/>
        <v>393786</v>
      </c>
      <c r="M17" s="8">
        <f t="shared" si="6"/>
        <v>7744458</v>
      </c>
      <c r="P17" s="181">
        <v>43556</v>
      </c>
    </row>
    <row r="18" spans="2:16" x14ac:dyDescent="0.25">
      <c r="B18" s="6">
        <v>2915</v>
      </c>
      <c r="C18" s="6" t="s">
        <v>16</v>
      </c>
      <c r="D18" s="7">
        <v>34.049999999999997</v>
      </c>
      <c r="E18" s="8">
        <f t="shared" si="0"/>
        <v>190550</v>
      </c>
      <c r="F18" s="8">
        <f>F17+C4</f>
        <v>2300</v>
      </c>
      <c r="G18" s="8"/>
      <c r="H18" s="9">
        <f t="shared" si="1"/>
        <v>192850</v>
      </c>
      <c r="I18" s="8">
        <f>ROUND(H18*D18,-2)</f>
        <v>6566500</v>
      </c>
      <c r="J18" s="9">
        <f t="shared" si="3"/>
        <v>787980</v>
      </c>
      <c r="K18" s="9">
        <f t="shared" si="4"/>
        <v>7354480</v>
      </c>
      <c r="L18" s="8">
        <f t="shared" si="5"/>
        <v>393990</v>
      </c>
      <c r="M18" s="8">
        <f t="shared" si="6"/>
        <v>7748470</v>
      </c>
      <c r="P18" s="181">
        <v>43586</v>
      </c>
    </row>
    <row r="19" spans="2:16" x14ac:dyDescent="0.25">
      <c r="B19" s="6">
        <v>3115</v>
      </c>
      <c r="C19" s="6" t="s">
        <v>16</v>
      </c>
      <c r="D19" s="7">
        <v>34.049999999999997</v>
      </c>
      <c r="E19" s="8">
        <f>$E$3</f>
        <v>190550</v>
      </c>
      <c r="F19" s="8">
        <f>F18+C4+C4</f>
        <v>2500</v>
      </c>
      <c r="G19" s="8"/>
      <c r="H19" s="9">
        <f t="shared" si="1"/>
        <v>193050</v>
      </c>
      <c r="I19" s="8">
        <f>ROUND(H19*D19,-2)</f>
        <v>6573400</v>
      </c>
      <c r="J19" s="9">
        <f t="shared" si="3"/>
        <v>788808</v>
      </c>
      <c r="K19" s="9">
        <f t="shared" si="4"/>
        <v>7362208</v>
      </c>
      <c r="L19" s="8">
        <f t="shared" si="5"/>
        <v>394404</v>
      </c>
      <c r="M19" s="8">
        <f t="shared" si="6"/>
        <v>7756612</v>
      </c>
      <c r="P19" s="181">
        <v>43617</v>
      </c>
    </row>
    <row r="20" spans="2:16" x14ac:dyDescent="0.25">
      <c r="B20" s="6">
        <v>3214</v>
      </c>
      <c r="C20" s="6" t="s">
        <v>16</v>
      </c>
      <c r="D20" s="7">
        <v>33.46</v>
      </c>
      <c r="E20" s="8">
        <f t="shared" si="0"/>
        <v>190550</v>
      </c>
      <c r="F20" s="8">
        <f>F19+C4</f>
        <v>2600</v>
      </c>
      <c r="G20" s="8"/>
      <c r="H20" s="9">
        <f t="shared" si="1"/>
        <v>193150</v>
      </c>
      <c r="I20" s="8">
        <f t="shared" ref="I20:I21" si="7">ROUND(H20*D20,-2)</f>
        <v>6462800</v>
      </c>
      <c r="J20" s="9">
        <f t="shared" si="3"/>
        <v>775536</v>
      </c>
      <c r="K20" s="9">
        <f t="shared" si="4"/>
        <v>7238336</v>
      </c>
      <c r="L20" s="8">
        <f t="shared" si="5"/>
        <v>387768</v>
      </c>
      <c r="M20" s="8">
        <f t="shared" si="6"/>
        <v>7626104</v>
      </c>
      <c r="P20" s="181">
        <v>43647</v>
      </c>
    </row>
    <row r="21" spans="2:16" x14ac:dyDescent="0.25">
      <c r="B21" s="6" t="s">
        <v>0</v>
      </c>
      <c r="C21" s="6" t="s">
        <v>16</v>
      </c>
      <c r="D21" s="7">
        <v>34.049999999999997</v>
      </c>
      <c r="E21" s="8">
        <f t="shared" si="0"/>
        <v>190550</v>
      </c>
      <c r="F21" s="8">
        <f>F20+C4</f>
        <v>2700</v>
      </c>
      <c r="G21" s="8"/>
      <c r="H21" s="9">
        <f t="shared" si="1"/>
        <v>193250</v>
      </c>
      <c r="I21" s="8">
        <f t="shared" si="7"/>
        <v>6580200</v>
      </c>
      <c r="J21" s="9">
        <f t="shared" si="3"/>
        <v>789624</v>
      </c>
      <c r="K21" s="9">
        <f t="shared" si="4"/>
        <v>7369824</v>
      </c>
      <c r="L21" s="8">
        <f t="shared" si="5"/>
        <v>394812</v>
      </c>
      <c r="M21" s="8">
        <f t="shared" si="6"/>
        <v>7764636</v>
      </c>
      <c r="P21" s="181">
        <v>43678</v>
      </c>
    </row>
    <row r="22" spans="2:16" x14ac:dyDescent="0.25">
      <c r="B22" s="6" t="s">
        <v>1</v>
      </c>
      <c r="C22" s="6" t="s">
        <v>16</v>
      </c>
      <c r="D22" s="7">
        <v>33.46</v>
      </c>
      <c r="E22" s="8">
        <f t="shared" si="0"/>
        <v>190550</v>
      </c>
      <c r="F22" s="8">
        <f>F21+C4</f>
        <v>2800</v>
      </c>
      <c r="G22" s="8"/>
      <c r="H22" s="9">
        <f t="shared" si="1"/>
        <v>193350</v>
      </c>
      <c r="I22" s="8">
        <f>ROUND(H22*D22,-2)</f>
        <v>6469500</v>
      </c>
      <c r="J22" s="9">
        <f t="shared" si="3"/>
        <v>776340</v>
      </c>
      <c r="K22" s="9">
        <f t="shared" si="4"/>
        <v>7245840</v>
      </c>
      <c r="L22" s="8">
        <f t="shared" si="5"/>
        <v>388170</v>
      </c>
      <c r="M22" s="8">
        <f t="shared" si="6"/>
        <v>7634010</v>
      </c>
      <c r="P22" s="181">
        <v>43709</v>
      </c>
    </row>
    <row r="23" spans="2:16" x14ac:dyDescent="0.25">
      <c r="B23" s="6" t="s">
        <v>2</v>
      </c>
      <c r="C23" s="6" t="s">
        <v>14</v>
      </c>
      <c r="D23" s="7">
        <v>23.74</v>
      </c>
      <c r="E23" s="8">
        <f>$E$3</f>
        <v>190550</v>
      </c>
      <c r="F23" s="8">
        <f>F22+C4</f>
        <v>2900</v>
      </c>
      <c r="G23" s="8">
        <f>E23*$G$8</f>
        <v>3334.6250000000005</v>
      </c>
      <c r="H23" s="9">
        <f t="shared" si="1"/>
        <v>196784.625</v>
      </c>
      <c r="I23" s="8">
        <f t="shared" ref="I23" si="8">ROUND(H23*D23,-2)</f>
        <v>4671700</v>
      </c>
      <c r="J23" s="9">
        <f t="shared" si="3"/>
        <v>560604</v>
      </c>
      <c r="K23" s="9">
        <f t="shared" si="4"/>
        <v>5232304</v>
      </c>
      <c r="L23" s="8">
        <f t="shared" si="5"/>
        <v>280302</v>
      </c>
      <c r="M23" s="8">
        <f t="shared" si="6"/>
        <v>5512606</v>
      </c>
      <c r="P23" s="181">
        <v>43739</v>
      </c>
    </row>
    <row r="24" spans="2:16" x14ac:dyDescent="0.25">
      <c r="D24" s="176">
        <f>SUM(D10:D23)</f>
        <v>515.41999999999996</v>
      </c>
      <c r="E24" s="176">
        <f>SUM(E10:E23)</f>
        <v>2667700</v>
      </c>
      <c r="I24" s="176">
        <f>SUM(I10:I23)</f>
        <v>99512600</v>
      </c>
      <c r="J24" s="1">
        <f t="shared" si="3"/>
        <v>11941512</v>
      </c>
      <c r="K24" s="1">
        <f t="shared" si="4"/>
        <v>111454112</v>
      </c>
      <c r="L24" s="1">
        <f t="shared" si="5"/>
        <v>5970756</v>
      </c>
      <c r="M24" s="1">
        <f t="shared" si="6"/>
        <v>117424868</v>
      </c>
      <c r="P24" s="181">
        <v>43770</v>
      </c>
    </row>
    <row r="25" spans="2:16" x14ac:dyDescent="0.25">
      <c r="I25" s="202">
        <f>I24/D24</f>
        <v>193070.89364013815</v>
      </c>
      <c r="J25" s="1">
        <f t="shared" si="3"/>
        <v>23168.507236816578</v>
      </c>
      <c r="K25" s="1">
        <f t="shared" si="4"/>
        <v>216239.40087695472</v>
      </c>
      <c r="L25" s="1">
        <f t="shared" si="5"/>
        <v>11584.253618408289</v>
      </c>
      <c r="M25" s="1">
        <f t="shared" si="6"/>
        <v>227823.65449536301</v>
      </c>
      <c r="P25" s="181">
        <v>43800</v>
      </c>
    </row>
    <row r="26" spans="2:16" x14ac:dyDescent="0.25">
      <c r="P26" s="181">
        <v>43831</v>
      </c>
    </row>
    <row r="27" spans="2:16" x14ac:dyDescent="0.25">
      <c r="P27" s="181">
        <v>43862</v>
      </c>
    </row>
    <row r="28" spans="2:16" x14ac:dyDescent="0.25">
      <c r="P28" s="181">
        <v>43891</v>
      </c>
    </row>
    <row r="29" spans="2:16" x14ac:dyDescent="0.25">
      <c r="P29" s="181">
        <v>43922</v>
      </c>
    </row>
    <row r="30" spans="2:16" x14ac:dyDescent="0.25">
      <c r="P30" s="181">
        <v>43952</v>
      </c>
    </row>
    <row r="31" spans="2:16" x14ac:dyDescent="0.25">
      <c r="P31" s="181">
        <v>43983</v>
      </c>
    </row>
    <row r="32" spans="2:16" x14ac:dyDescent="0.25">
      <c r="P32" s="181">
        <v>44013</v>
      </c>
    </row>
    <row r="33" spans="16:16" x14ac:dyDescent="0.25">
      <c r="P33" s="181">
        <v>44044</v>
      </c>
    </row>
    <row r="34" spans="16:16" x14ac:dyDescent="0.25">
      <c r="P34" s="181">
        <v>44075</v>
      </c>
    </row>
    <row r="35" spans="16:16" x14ac:dyDescent="0.25">
      <c r="P35" s="181">
        <v>44105</v>
      </c>
    </row>
    <row r="36" spans="16:16" x14ac:dyDescent="0.25">
      <c r="P36" s="181">
        <v>44136</v>
      </c>
    </row>
    <row r="37" spans="16:16" x14ac:dyDescent="0.25">
      <c r="P37" s="181">
        <v>44166</v>
      </c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9"/>
  <sheetViews>
    <sheetView workbookViewId="0">
      <selection activeCell="I18" sqref="I18"/>
    </sheetView>
  </sheetViews>
  <sheetFormatPr defaultRowHeight="13.8" x14ac:dyDescent="0.25"/>
  <cols>
    <col min="1" max="1" width="8.88671875" style="140"/>
    <col min="2" max="2" width="11" style="140" customWidth="1"/>
    <col min="3" max="3" width="9.6640625" style="140" customWidth="1"/>
    <col min="4" max="4" width="10.109375" style="140" customWidth="1"/>
    <col min="5" max="5" width="9" style="140" bestFit="1" customWidth="1"/>
    <col min="6" max="7" width="14" style="140" bestFit="1" customWidth="1"/>
    <col min="8" max="16384" width="8.88671875" style="140"/>
  </cols>
  <sheetData>
    <row r="4" spans="2:7" ht="15" x14ac:dyDescent="0.25">
      <c r="B4" s="219" t="s">
        <v>36</v>
      </c>
      <c r="C4" s="220" t="s">
        <v>122</v>
      </c>
      <c r="D4" s="221" t="s">
        <v>123</v>
      </c>
      <c r="E4" s="221"/>
      <c r="F4" s="221" t="s">
        <v>124</v>
      </c>
      <c r="G4" s="221"/>
    </row>
    <row r="5" spans="2:7" x14ac:dyDescent="0.25">
      <c r="B5" s="219"/>
      <c r="C5" s="220"/>
      <c r="D5" s="195" t="s">
        <v>125</v>
      </c>
      <c r="E5" s="195" t="s">
        <v>126</v>
      </c>
      <c r="F5" s="195" t="s">
        <v>125</v>
      </c>
      <c r="G5" s="195" t="s">
        <v>126</v>
      </c>
    </row>
    <row r="6" spans="2:7" x14ac:dyDescent="0.25">
      <c r="B6" s="196" t="s">
        <v>14</v>
      </c>
      <c r="C6" s="197">
        <v>4</v>
      </c>
      <c r="D6" s="198">
        <v>27.875</v>
      </c>
      <c r="E6" s="197">
        <v>31.68</v>
      </c>
      <c r="F6" s="199">
        <v>4671700</v>
      </c>
      <c r="G6" s="199">
        <v>6145400</v>
      </c>
    </row>
    <row r="7" spans="2:7" x14ac:dyDescent="0.25">
      <c r="B7" s="196" t="s">
        <v>16</v>
      </c>
      <c r="C7" s="197">
        <v>6</v>
      </c>
      <c r="D7" s="198">
        <v>33.853333333333332</v>
      </c>
      <c r="E7" s="197">
        <v>34.049999999999997</v>
      </c>
      <c r="F7" s="199">
        <v>6462800</v>
      </c>
      <c r="G7" s="199">
        <v>6580200</v>
      </c>
    </row>
    <row r="8" spans="2:7" x14ac:dyDescent="0.25">
      <c r="B8" s="196" t="s">
        <v>15</v>
      </c>
      <c r="C8" s="197">
        <v>3</v>
      </c>
      <c r="D8" s="198">
        <v>50.2</v>
      </c>
      <c r="E8" s="200">
        <v>50.2</v>
      </c>
      <c r="F8" s="199">
        <v>9595700</v>
      </c>
      <c r="G8" s="199">
        <v>9666000</v>
      </c>
    </row>
    <row r="9" spans="2:7" x14ac:dyDescent="0.25">
      <c r="B9" s="201" t="s">
        <v>129</v>
      </c>
      <c r="C9" s="201">
        <f>SUM(C6:C8)</f>
        <v>13</v>
      </c>
    </row>
  </sheetData>
  <mergeCells count="4">
    <mergeCell ref="B4:B5"/>
    <mergeCell ref="C4:C5"/>
    <mergeCell ref="D4:E4"/>
    <mergeCell ref="F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I18" sqref="I18"/>
    </sheetView>
  </sheetViews>
  <sheetFormatPr defaultRowHeight="13.2" x14ac:dyDescent="0.25"/>
  <cols>
    <col min="1" max="1" width="14.5546875" style="1" customWidth="1"/>
    <col min="2" max="2" width="11.21875" style="2" customWidth="1"/>
    <col min="3" max="3" width="8.6640625" style="1" customWidth="1"/>
    <col min="4" max="4" width="9.109375" style="1" customWidth="1"/>
    <col min="5" max="5" width="9.44140625" style="1" bestFit="1" customWidth="1"/>
    <col min="6" max="6" width="9" style="1" bestFit="1" customWidth="1"/>
    <col min="7" max="7" width="9" style="1" customWidth="1"/>
    <col min="8" max="8" width="10.77734375" style="1" customWidth="1"/>
    <col min="9" max="11" width="12.44140625" style="1" customWidth="1"/>
    <col min="12" max="12" width="14.44140625" style="1" customWidth="1"/>
    <col min="13" max="13" width="17.21875" style="1" customWidth="1"/>
    <col min="14" max="16384" width="8.88671875" style="1"/>
  </cols>
  <sheetData>
    <row r="1" spans="1:13" ht="52.8" x14ac:dyDescent="0.25">
      <c r="A1" s="4" t="s">
        <v>3</v>
      </c>
      <c r="B1" s="5" t="s">
        <v>4</v>
      </c>
      <c r="C1" s="4" t="s">
        <v>5</v>
      </c>
      <c r="D1" s="4" t="s">
        <v>13</v>
      </c>
      <c r="E1" s="4" t="s">
        <v>19</v>
      </c>
      <c r="F1" s="4" t="s">
        <v>17</v>
      </c>
      <c r="G1" s="4" t="s">
        <v>118</v>
      </c>
      <c r="H1" s="4" t="s">
        <v>117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</row>
    <row r="2" spans="1:13" x14ac:dyDescent="0.25">
      <c r="A2" s="6">
        <v>615</v>
      </c>
      <c r="B2" s="6" t="str">
        <f>'Base Price'!C10</f>
        <v>Studio</v>
      </c>
      <c r="C2" s="6">
        <f>'Base Price'!D10</f>
        <v>29.16</v>
      </c>
      <c r="D2" s="191">
        <f>'Base Price'!E10</f>
        <v>190550</v>
      </c>
      <c r="E2" s="191">
        <f>'Base Price'!F10</f>
        <v>100</v>
      </c>
      <c r="F2" s="191">
        <f>'Base Price'!G10</f>
        <v>3334.6250000000005</v>
      </c>
      <c r="G2" s="191">
        <v>188337.5</v>
      </c>
      <c r="H2" s="191">
        <f>'Base Price'!H10</f>
        <v>193984.63</v>
      </c>
      <c r="I2" s="191">
        <f>'Base Price'!I10</f>
        <v>5656600</v>
      </c>
      <c r="J2" s="191">
        <f>'Base Price'!J10</f>
        <v>678792</v>
      </c>
      <c r="K2" s="191">
        <f>'Base Price'!K10</f>
        <v>6335392</v>
      </c>
      <c r="L2" s="191">
        <f>'Base Price'!L10</f>
        <v>339396</v>
      </c>
      <c r="M2" s="191">
        <f>'Base Price'!M10</f>
        <v>6674788</v>
      </c>
    </row>
    <row r="3" spans="1:13" x14ac:dyDescent="0.25">
      <c r="A3" s="6">
        <v>618</v>
      </c>
      <c r="B3" s="6" t="str">
        <f>'Base Price'!C11</f>
        <v>Studio</v>
      </c>
      <c r="C3" s="6">
        <f>'Base Price'!D11</f>
        <v>31.68</v>
      </c>
      <c r="D3" s="191">
        <f>'Base Price'!E11</f>
        <v>190550</v>
      </c>
      <c r="E3" s="191">
        <f>'Base Price'!F11</f>
        <v>100</v>
      </c>
      <c r="F3" s="191">
        <f>'Base Price'!G11</f>
        <v>3334.6250000000005</v>
      </c>
      <c r="G3" s="191">
        <v>188337.5</v>
      </c>
      <c r="H3" s="191">
        <f>'Base Price'!H11</f>
        <v>193984.625</v>
      </c>
      <c r="I3" s="191">
        <f>'Base Price'!I11</f>
        <v>6145400</v>
      </c>
      <c r="J3" s="191">
        <f>'Base Price'!J11</f>
        <v>737448</v>
      </c>
      <c r="K3" s="191">
        <f>'Base Price'!K11</f>
        <v>6882848</v>
      </c>
      <c r="L3" s="191">
        <f>'Base Price'!L11</f>
        <v>368724</v>
      </c>
      <c r="M3" s="191">
        <f>'Base Price'!M11</f>
        <v>7251572</v>
      </c>
    </row>
    <row r="4" spans="1:13" x14ac:dyDescent="0.25">
      <c r="A4" s="6">
        <v>1106</v>
      </c>
      <c r="B4" s="6" t="str">
        <f>'Base Price'!C12</f>
        <v>2 Bedroom</v>
      </c>
      <c r="C4" s="6">
        <f>'Base Price'!D12</f>
        <v>50.2</v>
      </c>
      <c r="D4" s="191">
        <f>'Base Price'!E12</f>
        <v>190550</v>
      </c>
      <c r="E4" s="191">
        <f>'Base Price'!F12</f>
        <v>600</v>
      </c>
      <c r="F4" s="191">
        <f>'Base Price'!G12</f>
        <v>0</v>
      </c>
      <c r="G4" s="191">
        <v>185600</v>
      </c>
      <c r="H4" s="191">
        <f>'Base Price'!H12</f>
        <v>191150</v>
      </c>
      <c r="I4" s="191">
        <f>'Base Price'!I12</f>
        <v>9595700</v>
      </c>
      <c r="J4" s="191">
        <f>'Base Price'!J12</f>
        <v>1151484</v>
      </c>
      <c r="K4" s="191">
        <f>'Base Price'!K12</f>
        <v>10747184</v>
      </c>
      <c r="L4" s="191">
        <f>'Base Price'!L12</f>
        <v>575742</v>
      </c>
      <c r="M4" s="191">
        <f>'Base Price'!M12</f>
        <v>11322926</v>
      </c>
    </row>
    <row r="5" spans="1:13" x14ac:dyDescent="0.25">
      <c r="A5" s="6">
        <v>2103</v>
      </c>
      <c r="B5" s="6" t="str">
        <f>'Base Price'!C13</f>
        <v>Studio</v>
      </c>
      <c r="C5" s="6">
        <f>'Base Price'!D13</f>
        <v>26.92</v>
      </c>
      <c r="D5" s="191">
        <f>'Base Price'!E13</f>
        <v>190550</v>
      </c>
      <c r="E5" s="191">
        <f>'Base Price'!F13</f>
        <v>1500</v>
      </c>
      <c r="F5" s="191">
        <f>'Base Price'!G13</f>
        <v>3334.6250000000005</v>
      </c>
      <c r="G5" s="191">
        <v>189737.5</v>
      </c>
      <c r="H5" s="191">
        <f>'Base Price'!H13</f>
        <v>195384.625</v>
      </c>
      <c r="I5" s="191">
        <f>'Base Price'!I13</f>
        <v>5259800</v>
      </c>
      <c r="J5" s="191">
        <f>'Base Price'!J13</f>
        <v>631176</v>
      </c>
      <c r="K5" s="191">
        <f>'Base Price'!K13</f>
        <v>5890976</v>
      </c>
      <c r="L5" s="191">
        <f>'Base Price'!L13</f>
        <v>315588</v>
      </c>
      <c r="M5" s="191">
        <f>'Base Price'!M13</f>
        <v>6206564</v>
      </c>
    </row>
    <row r="6" spans="1:13" x14ac:dyDescent="0.25">
      <c r="A6" s="6">
        <v>2206</v>
      </c>
      <c r="B6" s="6" t="str">
        <f>'Base Price'!C14</f>
        <v>2 Bedroom</v>
      </c>
      <c r="C6" s="6">
        <f>'Base Price'!D14</f>
        <v>50.2</v>
      </c>
      <c r="D6" s="191">
        <f>'Base Price'!E14</f>
        <v>190550</v>
      </c>
      <c r="E6" s="191">
        <f>'Base Price'!F14</f>
        <v>1600</v>
      </c>
      <c r="F6" s="191">
        <f>'Base Price'!G14</f>
        <v>0</v>
      </c>
      <c r="G6" s="191">
        <v>186600</v>
      </c>
      <c r="H6" s="191">
        <f>'Base Price'!H14</f>
        <v>192150</v>
      </c>
      <c r="I6" s="191">
        <f>'Base Price'!I14</f>
        <v>9645900</v>
      </c>
      <c r="J6" s="191">
        <f>'Base Price'!J14</f>
        <v>1157508</v>
      </c>
      <c r="K6" s="191">
        <f>'Base Price'!K14</f>
        <v>10803408</v>
      </c>
      <c r="L6" s="191">
        <f>'Base Price'!L14</f>
        <v>578754</v>
      </c>
      <c r="M6" s="191">
        <f>'Base Price'!M14</f>
        <v>11382162</v>
      </c>
    </row>
    <row r="7" spans="1:13" x14ac:dyDescent="0.25">
      <c r="A7" s="6">
        <v>2606</v>
      </c>
      <c r="B7" s="6" t="str">
        <f>'Base Price'!C16</f>
        <v>2 Bedroom</v>
      </c>
      <c r="C7" s="6">
        <f>'Base Price'!D16</f>
        <v>50.2</v>
      </c>
      <c r="D7" s="191">
        <f>'Base Price'!E16</f>
        <v>190550</v>
      </c>
      <c r="E7" s="191">
        <f>'Base Price'!F16</f>
        <v>2000</v>
      </c>
      <c r="F7" s="191">
        <f>'Base Price'!G16</f>
        <v>0</v>
      </c>
      <c r="G7" s="191">
        <v>187000</v>
      </c>
      <c r="H7" s="191">
        <f>'Base Price'!H16</f>
        <v>192550</v>
      </c>
      <c r="I7" s="191">
        <f>'Base Price'!I16</f>
        <v>9666000</v>
      </c>
      <c r="J7" s="191">
        <f>'Base Price'!J16</f>
        <v>1159920</v>
      </c>
      <c r="K7" s="191">
        <f>'Base Price'!K16</f>
        <v>10825920</v>
      </c>
      <c r="L7" s="191">
        <f>'Base Price'!L16</f>
        <v>579960</v>
      </c>
      <c r="M7" s="191">
        <f>'Base Price'!M16</f>
        <v>11405880</v>
      </c>
    </row>
    <row r="8" spans="1:13" x14ac:dyDescent="0.25">
      <c r="A8" s="6">
        <v>2815</v>
      </c>
      <c r="B8" s="6" t="str">
        <f>'Base Price'!C17</f>
        <v>1 Bedroom</v>
      </c>
      <c r="C8" s="6">
        <f>'Base Price'!D17</f>
        <v>34.049999999999997</v>
      </c>
      <c r="D8" s="191">
        <f>'Base Price'!E17</f>
        <v>190550</v>
      </c>
      <c r="E8" s="191">
        <f>'Base Price'!F17</f>
        <v>2200</v>
      </c>
      <c r="F8" s="191">
        <f>'Base Price'!G17</f>
        <v>0</v>
      </c>
      <c r="G8" s="191">
        <v>187200</v>
      </c>
      <c r="H8" s="191">
        <f>'Base Price'!H17</f>
        <v>192750</v>
      </c>
      <c r="I8" s="191">
        <f>'Base Price'!I17</f>
        <v>6563100</v>
      </c>
      <c r="J8" s="191">
        <f>'Base Price'!J17</f>
        <v>787572</v>
      </c>
      <c r="K8" s="191">
        <f>'Base Price'!K17</f>
        <v>7350672</v>
      </c>
      <c r="L8" s="191">
        <f>'Base Price'!L17</f>
        <v>393786</v>
      </c>
      <c r="M8" s="191">
        <f>'Base Price'!M17</f>
        <v>7744458</v>
      </c>
    </row>
    <row r="9" spans="1:13" x14ac:dyDescent="0.25">
      <c r="A9" s="6">
        <v>2915</v>
      </c>
      <c r="B9" s="6" t="str">
        <f>'Base Price'!C18</f>
        <v>1 Bedroom</v>
      </c>
      <c r="C9" s="6">
        <f>'Base Price'!D18</f>
        <v>34.049999999999997</v>
      </c>
      <c r="D9" s="191">
        <f>'Base Price'!E18</f>
        <v>190550</v>
      </c>
      <c r="E9" s="191">
        <f>'Base Price'!F18</f>
        <v>2300</v>
      </c>
      <c r="F9" s="191">
        <f>'Base Price'!G18</f>
        <v>0</v>
      </c>
      <c r="G9" s="191">
        <v>187300</v>
      </c>
      <c r="H9" s="191">
        <f>'Base Price'!H18</f>
        <v>192850</v>
      </c>
      <c r="I9" s="191">
        <f>'Base Price'!I18</f>
        <v>6566500</v>
      </c>
      <c r="J9" s="191">
        <f>'Base Price'!J18</f>
        <v>787980</v>
      </c>
      <c r="K9" s="191">
        <f>'Base Price'!K18</f>
        <v>7354480</v>
      </c>
      <c r="L9" s="191">
        <f>'Base Price'!L18</f>
        <v>393990</v>
      </c>
      <c r="M9" s="191">
        <f>'Base Price'!M18</f>
        <v>7748470</v>
      </c>
    </row>
    <row r="10" spans="1:13" x14ac:dyDescent="0.25">
      <c r="A10" s="6">
        <v>3115</v>
      </c>
      <c r="B10" s="6" t="str">
        <f>'Base Price'!C19</f>
        <v>1 Bedroom</v>
      </c>
      <c r="C10" s="6">
        <f>'Base Price'!D19</f>
        <v>34.049999999999997</v>
      </c>
      <c r="D10" s="191">
        <f>'Base Price'!E19</f>
        <v>190550</v>
      </c>
      <c r="E10" s="191">
        <f>'Base Price'!F19</f>
        <v>2500</v>
      </c>
      <c r="F10" s="191">
        <f>'Base Price'!G19</f>
        <v>0</v>
      </c>
      <c r="G10" s="191">
        <v>187500</v>
      </c>
      <c r="H10" s="191">
        <f>'Base Price'!H19</f>
        <v>193050</v>
      </c>
      <c r="I10" s="191">
        <f>'Base Price'!I19</f>
        <v>6573400</v>
      </c>
      <c r="J10" s="191">
        <f>'Base Price'!J19</f>
        <v>788808</v>
      </c>
      <c r="K10" s="191">
        <f>'Base Price'!K19</f>
        <v>7362208</v>
      </c>
      <c r="L10" s="191">
        <f>'Base Price'!L19</f>
        <v>394404</v>
      </c>
      <c r="M10" s="191">
        <f>'Base Price'!M19</f>
        <v>7756612</v>
      </c>
    </row>
    <row r="11" spans="1:13" x14ac:dyDescent="0.25">
      <c r="A11" s="6">
        <v>3214</v>
      </c>
      <c r="B11" s="6" t="str">
        <f>'Base Price'!C20</f>
        <v>1 Bedroom</v>
      </c>
      <c r="C11" s="6">
        <f>'Base Price'!D20</f>
        <v>33.46</v>
      </c>
      <c r="D11" s="191">
        <f>'Base Price'!E20</f>
        <v>190550</v>
      </c>
      <c r="E11" s="191">
        <f>'Base Price'!F20</f>
        <v>2600</v>
      </c>
      <c r="F11" s="191">
        <f>'Base Price'!G20</f>
        <v>0</v>
      </c>
      <c r="G11" s="191">
        <v>187600</v>
      </c>
      <c r="H11" s="191">
        <f>'Base Price'!H20</f>
        <v>193150</v>
      </c>
      <c r="I11" s="191">
        <f>'Base Price'!I20</f>
        <v>6462800</v>
      </c>
      <c r="J11" s="191">
        <f>'Base Price'!J20</f>
        <v>775536</v>
      </c>
      <c r="K11" s="191">
        <f>'Base Price'!K20</f>
        <v>7238336</v>
      </c>
      <c r="L11" s="191">
        <f>'Base Price'!L20</f>
        <v>387768</v>
      </c>
      <c r="M11" s="191">
        <f>'Base Price'!M20</f>
        <v>7626104</v>
      </c>
    </row>
    <row r="12" spans="1:13" x14ac:dyDescent="0.25">
      <c r="A12" s="6" t="s">
        <v>0</v>
      </c>
      <c r="B12" s="6" t="str">
        <f>'Base Price'!C21</f>
        <v>1 Bedroom</v>
      </c>
      <c r="C12" s="6">
        <f>'Base Price'!D21</f>
        <v>34.049999999999997</v>
      </c>
      <c r="D12" s="191">
        <f>'Base Price'!E21</f>
        <v>190550</v>
      </c>
      <c r="E12" s="191">
        <f>'Base Price'!F21</f>
        <v>2700</v>
      </c>
      <c r="F12" s="191">
        <f>'Base Price'!G21</f>
        <v>0</v>
      </c>
      <c r="G12" s="191">
        <v>187700</v>
      </c>
      <c r="H12" s="191">
        <f>'Base Price'!H21</f>
        <v>193250</v>
      </c>
      <c r="I12" s="191">
        <f>'Base Price'!I21</f>
        <v>6580200</v>
      </c>
      <c r="J12" s="191">
        <f>'Base Price'!J21</f>
        <v>789624</v>
      </c>
      <c r="K12" s="191">
        <f>'Base Price'!K21</f>
        <v>7369824</v>
      </c>
      <c r="L12" s="191">
        <f>'Base Price'!L21</f>
        <v>394812</v>
      </c>
      <c r="M12" s="191">
        <f>'Base Price'!M21</f>
        <v>7764636</v>
      </c>
    </row>
    <row r="13" spans="1:13" x14ac:dyDescent="0.25">
      <c r="A13" s="6" t="s">
        <v>1</v>
      </c>
      <c r="B13" s="6" t="str">
        <f>'Base Price'!C22</f>
        <v>1 Bedroom</v>
      </c>
      <c r="C13" s="6">
        <f>'Base Price'!D22</f>
        <v>33.46</v>
      </c>
      <c r="D13" s="191">
        <f>'Base Price'!E22</f>
        <v>190550</v>
      </c>
      <c r="E13" s="191">
        <f>'Base Price'!F22</f>
        <v>2800</v>
      </c>
      <c r="F13" s="191">
        <f>'Base Price'!G22</f>
        <v>0</v>
      </c>
      <c r="G13" s="191">
        <v>187800</v>
      </c>
      <c r="H13" s="191">
        <f>'Base Price'!H22</f>
        <v>193350</v>
      </c>
      <c r="I13" s="191">
        <f>'Base Price'!I22</f>
        <v>6469500</v>
      </c>
      <c r="J13" s="191">
        <f>'Base Price'!J22</f>
        <v>776340</v>
      </c>
      <c r="K13" s="191">
        <f>'Base Price'!K22</f>
        <v>7245840</v>
      </c>
      <c r="L13" s="191">
        <f>'Base Price'!L22</f>
        <v>388170</v>
      </c>
      <c r="M13" s="191">
        <f>'Base Price'!M22</f>
        <v>7634010</v>
      </c>
    </row>
    <row r="14" spans="1:13" x14ac:dyDescent="0.25">
      <c r="A14" s="6" t="s">
        <v>2</v>
      </c>
      <c r="B14" s="6" t="str">
        <f>'Base Price'!C23</f>
        <v>Studio</v>
      </c>
      <c r="C14" s="6">
        <f>'Base Price'!D23</f>
        <v>23.74</v>
      </c>
      <c r="D14" s="191">
        <f>'Base Price'!E23</f>
        <v>190550</v>
      </c>
      <c r="E14" s="191">
        <f>'Base Price'!F23</f>
        <v>2900</v>
      </c>
      <c r="F14" s="191">
        <f>'Base Price'!G23</f>
        <v>3334.6250000000005</v>
      </c>
      <c r="G14" s="191">
        <v>191137.5</v>
      </c>
      <c r="H14" s="191">
        <f>'Base Price'!H23</f>
        <v>196784.625</v>
      </c>
      <c r="I14" s="191">
        <f>'Base Price'!I23</f>
        <v>4671700</v>
      </c>
      <c r="J14" s="191">
        <f>'Base Price'!J23</f>
        <v>560604</v>
      </c>
      <c r="K14" s="191">
        <f>'Base Price'!K23</f>
        <v>5232304</v>
      </c>
      <c r="L14" s="191">
        <f>'Base Price'!L23</f>
        <v>280302</v>
      </c>
      <c r="M14" s="191">
        <f>'Base Price'!M23</f>
        <v>5512606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4"/>
  <sheetViews>
    <sheetView zoomScale="85" zoomScaleNormal="85" workbookViewId="0">
      <selection activeCell="G30" sqref="G30"/>
    </sheetView>
  </sheetViews>
  <sheetFormatPr defaultRowHeight="14.4" x14ac:dyDescent="0.3"/>
  <cols>
    <col min="2" max="2" width="13.44140625" customWidth="1"/>
    <col min="3" max="3" width="15.5546875" bestFit="1" customWidth="1"/>
    <col min="8" max="8" width="11.33203125" customWidth="1"/>
    <col min="9" max="9" width="17.77734375" customWidth="1"/>
  </cols>
  <sheetData>
    <row r="3" spans="2:13" x14ac:dyDescent="0.3">
      <c r="B3" s="204"/>
      <c r="C3" s="204"/>
      <c r="D3" s="204"/>
      <c r="E3" s="204" t="s">
        <v>130</v>
      </c>
      <c r="F3" s="204"/>
      <c r="G3" s="204"/>
      <c r="H3" s="204"/>
      <c r="I3" s="204"/>
    </row>
    <row r="4" spans="2:13" s="171" customFormat="1" ht="28.8" x14ac:dyDescent="0.3">
      <c r="B4" s="205" t="s">
        <v>131</v>
      </c>
      <c r="C4" s="205" t="s">
        <v>132</v>
      </c>
      <c r="D4" s="205"/>
      <c r="E4" s="205">
        <v>30</v>
      </c>
      <c r="F4" s="205">
        <v>60</v>
      </c>
      <c r="G4" s="205">
        <v>90</v>
      </c>
      <c r="H4" s="205" t="s">
        <v>133</v>
      </c>
      <c r="I4" s="205" t="s">
        <v>134</v>
      </c>
      <c r="L4" s="171">
        <v>30</v>
      </c>
      <c r="M4" s="171">
        <v>4</v>
      </c>
    </row>
    <row r="5" spans="2:13" x14ac:dyDescent="0.3">
      <c r="B5" s="204"/>
      <c r="C5" s="204"/>
      <c r="D5" s="204"/>
      <c r="E5" s="206">
        <v>4</v>
      </c>
      <c r="F5" s="206">
        <v>5</v>
      </c>
      <c r="G5" s="206">
        <v>6</v>
      </c>
      <c r="H5" s="204"/>
      <c r="I5" s="204"/>
      <c r="L5">
        <v>60</v>
      </c>
      <c r="M5">
        <v>5</v>
      </c>
    </row>
    <row r="6" spans="2:13" x14ac:dyDescent="0.3">
      <c r="B6" s="207">
        <v>43374</v>
      </c>
      <c r="C6" s="208">
        <f>[1]Assumptions!W30</f>
        <v>35</v>
      </c>
      <c r="D6" s="204"/>
      <c r="E6" s="209"/>
      <c r="F6" s="209"/>
      <c r="G6" s="209"/>
      <c r="H6" s="204"/>
      <c r="I6" s="204"/>
      <c r="L6">
        <v>90</v>
      </c>
      <c r="M6">
        <v>6</v>
      </c>
    </row>
    <row r="7" spans="2:13" x14ac:dyDescent="0.3">
      <c r="B7" s="207">
        <v>43405</v>
      </c>
      <c r="C7" s="208">
        <f t="shared" ref="C7:C32" si="0">C6-1</f>
        <v>34</v>
      </c>
      <c r="D7" s="204"/>
      <c r="E7" s="209"/>
      <c r="F7" s="209"/>
      <c r="G7" s="209"/>
      <c r="H7" s="204"/>
      <c r="I7" s="204"/>
    </row>
    <row r="8" spans="2:13" x14ac:dyDescent="0.3">
      <c r="B8" s="207">
        <v>43435</v>
      </c>
      <c r="C8" s="208">
        <f t="shared" si="0"/>
        <v>33</v>
      </c>
      <c r="D8" s="204"/>
      <c r="E8" s="209"/>
      <c r="F8" s="209"/>
      <c r="G8" s="209"/>
      <c r="H8" s="204"/>
      <c r="I8" s="204"/>
    </row>
    <row r="9" spans="2:13" x14ac:dyDescent="0.3">
      <c r="B9" s="207">
        <v>43466</v>
      </c>
      <c r="C9" s="208">
        <f t="shared" si="0"/>
        <v>32</v>
      </c>
      <c r="D9" s="204"/>
      <c r="E9" s="209"/>
      <c r="F9" s="209"/>
      <c r="G9" s="209"/>
      <c r="H9" s="204"/>
      <c r="I9" s="204"/>
    </row>
    <row r="10" spans="2:13" x14ac:dyDescent="0.3">
      <c r="B10" s="207">
        <v>43497</v>
      </c>
      <c r="C10" s="208">
        <f t="shared" si="0"/>
        <v>31</v>
      </c>
      <c r="D10" s="204"/>
      <c r="E10" s="209"/>
      <c r="F10" s="209"/>
      <c r="G10" s="209"/>
      <c r="H10" s="204"/>
      <c r="I10" s="204"/>
    </row>
    <row r="11" spans="2:13" x14ac:dyDescent="0.3">
      <c r="B11" s="207">
        <v>43525</v>
      </c>
      <c r="C11" s="208">
        <f t="shared" si="0"/>
        <v>30</v>
      </c>
      <c r="D11" s="204"/>
      <c r="E11" s="209"/>
      <c r="F11" s="209"/>
      <c r="G11" s="209"/>
      <c r="H11" s="204"/>
      <c r="I11" s="204"/>
    </row>
    <row r="12" spans="2:13" x14ac:dyDescent="0.3">
      <c r="B12" s="207">
        <v>43556</v>
      </c>
      <c r="C12" s="208">
        <f t="shared" si="0"/>
        <v>29</v>
      </c>
      <c r="D12" s="204"/>
      <c r="E12" s="209"/>
      <c r="F12" s="209"/>
      <c r="G12" s="209"/>
      <c r="H12" s="204"/>
      <c r="I12" s="204"/>
    </row>
    <row r="13" spans="2:13" x14ac:dyDescent="0.3">
      <c r="B13" s="207">
        <v>43586</v>
      </c>
      <c r="C13" s="208">
        <f t="shared" si="0"/>
        <v>28</v>
      </c>
      <c r="D13" s="204"/>
      <c r="E13" s="209"/>
      <c r="F13" s="209"/>
      <c r="G13" s="209"/>
      <c r="H13" s="204"/>
      <c r="I13" s="204"/>
    </row>
    <row r="14" spans="2:13" x14ac:dyDescent="0.3">
      <c r="B14" s="207">
        <v>43617</v>
      </c>
      <c r="C14" s="208">
        <f t="shared" si="0"/>
        <v>27</v>
      </c>
      <c r="D14" s="204"/>
      <c r="E14" s="209"/>
      <c r="F14" s="209"/>
      <c r="G14" s="209"/>
      <c r="H14" s="204"/>
      <c r="I14" s="204"/>
    </row>
    <row r="15" spans="2:13" x14ac:dyDescent="0.3">
      <c r="B15" s="207">
        <v>43647</v>
      </c>
      <c r="C15" s="208">
        <f t="shared" si="0"/>
        <v>26</v>
      </c>
      <c r="D15" s="204"/>
      <c r="E15" s="209"/>
      <c r="F15" s="209"/>
      <c r="G15" s="209"/>
      <c r="H15" s="204"/>
      <c r="I15" s="204"/>
    </row>
    <row r="16" spans="2:13" x14ac:dyDescent="0.3">
      <c r="B16" s="207">
        <v>43678</v>
      </c>
      <c r="C16" s="208">
        <f t="shared" si="0"/>
        <v>25</v>
      </c>
      <c r="D16" s="204"/>
      <c r="E16" s="209">
        <v>0.08</v>
      </c>
      <c r="F16" s="209">
        <v>7.0000000000000007E-2</v>
      </c>
      <c r="G16" s="209">
        <v>0.06</v>
      </c>
      <c r="H16" s="209">
        <v>0.04</v>
      </c>
      <c r="I16" s="209">
        <v>1.4999999999999999E-2</v>
      </c>
      <c r="J16" s="210"/>
      <c r="K16" s="210"/>
      <c r="L16" s="210"/>
    </row>
    <row r="17" spans="2:9" x14ac:dyDescent="0.3">
      <c r="B17" s="207">
        <v>43709</v>
      </c>
      <c r="C17" s="208">
        <f t="shared" si="0"/>
        <v>24</v>
      </c>
      <c r="D17" s="204"/>
      <c r="E17" s="209">
        <v>0.08</v>
      </c>
      <c r="F17" s="209">
        <v>7.0000000000000007E-2</v>
      </c>
      <c r="G17" s="209">
        <v>0.06</v>
      </c>
      <c r="H17" s="209">
        <v>0.04</v>
      </c>
      <c r="I17" s="209">
        <v>1.4999999999999999E-2</v>
      </c>
    </row>
    <row r="18" spans="2:9" x14ac:dyDescent="0.3">
      <c r="B18" s="207">
        <v>43739</v>
      </c>
      <c r="C18" s="208">
        <f t="shared" si="0"/>
        <v>23</v>
      </c>
      <c r="D18" s="204"/>
      <c r="E18" s="209">
        <v>0.08</v>
      </c>
      <c r="F18" s="209">
        <v>7.0000000000000007E-2</v>
      </c>
      <c r="G18" s="209">
        <v>0.06</v>
      </c>
      <c r="H18" s="209">
        <v>0.03</v>
      </c>
      <c r="I18" s="211">
        <v>1.4999999999999999E-2</v>
      </c>
    </row>
    <row r="19" spans="2:9" x14ac:dyDescent="0.3">
      <c r="B19" s="207">
        <v>43770</v>
      </c>
      <c r="C19" s="208">
        <f t="shared" si="0"/>
        <v>22</v>
      </c>
      <c r="D19" s="204"/>
      <c r="E19" s="209">
        <v>0.08</v>
      </c>
      <c r="F19" s="209">
        <v>7.0000000000000007E-2</v>
      </c>
      <c r="G19" s="209">
        <v>0.06</v>
      </c>
      <c r="H19" s="209">
        <v>0.03</v>
      </c>
      <c r="I19" s="211">
        <v>1.4999999999999999E-2</v>
      </c>
    </row>
    <row r="20" spans="2:9" x14ac:dyDescent="0.3">
      <c r="B20" s="207">
        <v>43800</v>
      </c>
      <c r="C20" s="208">
        <f t="shared" si="0"/>
        <v>21</v>
      </c>
      <c r="D20" s="204"/>
      <c r="E20" s="209">
        <v>0.08</v>
      </c>
      <c r="F20" s="209">
        <v>7.0000000000000007E-2</v>
      </c>
      <c r="G20" s="209">
        <v>0.06</v>
      </c>
      <c r="H20" s="209">
        <v>0.03</v>
      </c>
      <c r="I20" s="211">
        <v>1.4999999999999999E-2</v>
      </c>
    </row>
    <row r="21" spans="2:9" x14ac:dyDescent="0.3">
      <c r="B21" s="207">
        <v>43831</v>
      </c>
      <c r="C21" s="208">
        <f t="shared" si="0"/>
        <v>20</v>
      </c>
      <c r="D21" s="204"/>
      <c r="E21" s="209">
        <v>0.08</v>
      </c>
      <c r="F21" s="209">
        <v>7.0000000000000007E-2</v>
      </c>
      <c r="G21" s="209">
        <v>0.06</v>
      </c>
      <c r="H21" s="209">
        <v>0.03</v>
      </c>
      <c r="I21" s="211">
        <v>1.4999999999999999E-2</v>
      </c>
    </row>
    <row r="22" spans="2:9" x14ac:dyDescent="0.3">
      <c r="B22" s="207">
        <v>43862</v>
      </c>
      <c r="C22" s="208">
        <f t="shared" si="0"/>
        <v>19</v>
      </c>
      <c r="D22" s="204"/>
      <c r="E22" s="209">
        <v>0.08</v>
      </c>
      <c r="F22" s="209">
        <v>7.0000000000000007E-2</v>
      </c>
      <c r="G22" s="209">
        <v>0.06</v>
      </c>
      <c r="H22" s="209">
        <v>0.03</v>
      </c>
      <c r="I22" s="211">
        <v>1.4999999999999999E-2</v>
      </c>
    </row>
    <row r="23" spans="2:9" x14ac:dyDescent="0.3">
      <c r="B23" s="207">
        <v>43891</v>
      </c>
      <c r="C23" s="208">
        <f>C22-1</f>
        <v>18</v>
      </c>
      <c r="D23" s="204"/>
      <c r="E23" s="209">
        <v>0.08</v>
      </c>
      <c r="F23" s="209">
        <v>7.0000000000000007E-2</v>
      </c>
      <c r="G23" s="209">
        <v>0.06</v>
      </c>
      <c r="H23" s="209">
        <v>0.03</v>
      </c>
      <c r="I23" s="211">
        <v>1.4999999999999999E-2</v>
      </c>
    </row>
    <row r="24" spans="2:9" x14ac:dyDescent="0.3">
      <c r="B24" s="207">
        <v>43922</v>
      </c>
      <c r="C24" s="208">
        <f t="shared" si="0"/>
        <v>17</v>
      </c>
      <c r="D24" s="204"/>
      <c r="E24" s="209">
        <v>0.08</v>
      </c>
      <c r="F24" s="209">
        <v>7.0000000000000007E-2</v>
      </c>
      <c r="G24" s="209">
        <v>0.06</v>
      </c>
      <c r="H24" s="209">
        <v>0.03</v>
      </c>
      <c r="I24" s="211">
        <v>1.4999999999999999E-2</v>
      </c>
    </row>
    <row r="25" spans="2:9" x14ac:dyDescent="0.3">
      <c r="B25" s="207">
        <v>43952</v>
      </c>
      <c r="C25" s="208">
        <f t="shared" si="0"/>
        <v>16</v>
      </c>
      <c r="D25" s="204"/>
      <c r="E25" s="209">
        <v>0.08</v>
      </c>
      <c r="F25" s="209">
        <v>7.0000000000000007E-2</v>
      </c>
      <c r="G25" s="209">
        <v>0.06</v>
      </c>
      <c r="H25" s="209">
        <v>0.03</v>
      </c>
      <c r="I25" s="211">
        <v>1.4999999999999999E-2</v>
      </c>
    </row>
    <row r="26" spans="2:9" x14ac:dyDescent="0.3">
      <c r="B26" s="207">
        <v>43983</v>
      </c>
      <c r="C26" s="208">
        <f t="shared" si="0"/>
        <v>15</v>
      </c>
      <c r="D26" s="204"/>
      <c r="E26" s="209">
        <v>0.08</v>
      </c>
      <c r="F26" s="209">
        <v>7.0000000000000007E-2</v>
      </c>
      <c r="G26" s="209">
        <v>0.06</v>
      </c>
      <c r="H26" s="209">
        <v>0.03</v>
      </c>
      <c r="I26" s="211">
        <v>1.4999999999999999E-2</v>
      </c>
    </row>
    <row r="27" spans="2:9" x14ac:dyDescent="0.3">
      <c r="B27" s="207">
        <v>44013</v>
      </c>
      <c r="C27" s="208">
        <f t="shared" si="0"/>
        <v>14</v>
      </c>
      <c r="D27" s="204"/>
      <c r="E27" s="209">
        <v>0.08</v>
      </c>
      <c r="F27" s="209">
        <v>7.0000000000000007E-2</v>
      </c>
      <c r="G27" s="209">
        <v>0.06</v>
      </c>
      <c r="H27" s="209">
        <v>0.03</v>
      </c>
      <c r="I27" s="211">
        <v>1.4999999999999999E-2</v>
      </c>
    </row>
    <row r="28" spans="2:9" x14ac:dyDescent="0.3">
      <c r="B28" s="207">
        <v>44044</v>
      </c>
      <c r="C28" s="208">
        <f t="shared" si="0"/>
        <v>13</v>
      </c>
      <c r="D28" s="204"/>
      <c r="E28" s="209">
        <v>0.08</v>
      </c>
      <c r="F28" s="209">
        <v>7.0000000000000007E-2</v>
      </c>
      <c r="G28" s="209">
        <v>0.06</v>
      </c>
      <c r="H28" s="209">
        <v>0.03</v>
      </c>
      <c r="I28" s="211">
        <v>1.4999999999999999E-2</v>
      </c>
    </row>
    <row r="29" spans="2:9" x14ac:dyDescent="0.3">
      <c r="B29" s="207">
        <v>44075</v>
      </c>
      <c r="C29" s="208">
        <f t="shared" si="0"/>
        <v>12</v>
      </c>
      <c r="D29" s="204"/>
      <c r="E29" s="209">
        <v>0.08</v>
      </c>
      <c r="F29" s="209">
        <v>7.0000000000000007E-2</v>
      </c>
      <c r="G29" s="209">
        <v>0.06</v>
      </c>
      <c r="H29" s="209">
        <v>0.03</v>
      </c>
      <c r="I29" s="211">
        <v>1.4999999999999999E-2</v>
      </c>
    </row>
    <row r="30" spans="2:9" x14ac:dyDescent="0.3">
      <c r="B30" s="207">
        <v>44105</v>
      </c>
      <c r="C30" s="208">
        <f t="shared" si="0"/>
        <v>11</v>
      </c>
      <c r="D30" s="204"/>
      <c r="E30" s="209">
        <v>0.08</v>
      </c>
      <c r="F30" s="209">
        <v>7.0000000000000007E-2</v>
      </c>
      <c r="G30" s="209">
        <v>0.06</v>
      </c>
      <c r="H30" s="209">
        <v>0.03</v>
      </c>
      <c r="I30" s="211">
        <v>1.4999999999999999E-2</v>
      </c>
    </row>
    <row r="31" spans="2:9" x14ac:dyDescent="0.3">
      <c r="B31" s="207">
        <v>44136</v>
      </c>
      <c r="C31" s="208">
        <f t="shared" si="0"/>
        <v>10</v>
      </c>
      <c r="D31" s="204"/>
      <c r="E31" s="209">
        <v>0.08</v>
      </c>
      <c r="F31" s="209">
        <v>7.0000000000000007E-2</v>
      </c>
      <c r="G31" s="209">
        <v>0.06</v>
      </c>
      <c r="H31" s="209">
        <v>0.03</v>
      </c>
      <c r="I31" s="211">
        <v>1.4999999999999999E-2</v>
      </c>
    </row>
    <row r="32" spans="2:9" x14ac:dyDescent="0.3">
      <c r="B32" s="207">
        <v>44166</v>
      </c>
      <c r="C32" s="208">
        <f t="shared" si="0"/>
        <v>9</v>
      </c>
      <c r="D32" s="204"/>
      <c r="E32" s="209">
        <v>0.08</v>
      </c>
      <c r="F32" s="209">
        <v>7.0000000000000007E-2</v>
      </c>
      <c r="G32" s="209">
        <v>0.06</v>
      </c>
      <c r="H32" s="209">
        <v>0.03</v>
      </c>
      <c r="I32" s="211">
        <v>1.4999999999999999E-2</v>
      </c>
    </row>
    <row r="33" spans="2:3" x14ac:dyDescent="0.3">
      <c r="B33" s="212"/>
      <c r="C33" s="213"/>
    </row>
    <row r="34" spans="2:3" x14ac:dyDescent="0.3">
      <c r="B34" s="212"/>
      <c r="C34" s="2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zoomScale="70" zoomScaleNormal="70" workbookViewId="0">
      <selection activeCell="Q27" sqref="Q27"/>
    </sheetView>
  </sheetViews>
  <sheetFormatPr defaultRowHeight="17.399999999999999" x14ac:dyDescent="0.3"/>
  <cols>
    <col min="1" max="1" width="7.109375" style="20" customWidth="1"/>
    <col min="2" max="2" width="14.5546875" style="20" customWidth="1"/>
    <col min="3" max="3" width="13.6640625" style="20" customWidth="1"/>
    <col min="4" max="4" width="14.77734375" style="20" bestFit="1" customWidth="1"/>
    <col min="5" max="5" width="13.88671875" style="20" hidden="1" customWidth="1"/>
    <col min="6" max="6" width="15.21875" style="20" bestFit="1" customWidth="1"/>
    <col min="7" max="7" width="18.6640625" style="20" customWidth="1"/>
    <col min="8" max="8" width="19.33203125" style="20" customWidth="1"/>
    <col min="9" max="9" width="12.88671875" style="20" hidden="1" customWidth="1"/>
    <col min="10" max="10" width="8.88671875" style="20"/>
    <col min="11" max="11" width="15.6640625" style="20" hidden="1" customWidth="1"/>
    <col min="12" max="13" width="15.21875" style="20" hidden="1" customWidth="1"/>
    <col min="14" max="15" width="12.33203125" style="20" hidden="1" customWidth="1"/>
    <col min="16" max="16384" width="8.88671875" style="20"/>
  </cols>
  <sheetData>
    <row r="1" spans="1:15" s="11" customFormat="1" ht="22.8" x14ac:dyDescent="0.3">
      <c r="A1" s="189" t="s">
        <v>12</v>
      </c>
      <c r="C1" s="12"/>
      <c r="D1" s="13"/>
    </row>
    <row r="2" spans="1:15" s="11" customFormat="1" ht="22.8" x14ac:dyDescent="0.3">
      <c r="A2" s="189" t="s">
        <v>114</v>
      </c>
      <c r="C2" s="23"/>
      <c r="D2" s="14"/>
    </row>
    <row r="3" spans="1:15" s="11" customFormat="1" x14ac:dyDescent="0.3">
      <c r="D3" s="15"/>
    </row>
    <row r="4" spans="1:15" s="11" customFormat="1" x14ac:dyDescent="0.3">
      <c r="C4" s="12"/>
      <c r="D4" s="13"/>
    </row>
    <row r="5" spans="1:15" s="11" customFormat="1" x14ac:dyDescent="0.3">
      <c r="B5" s="16"/>
      <c r="D5" s="13"/>
      <c r="H5" s="17"/>
    </row>
    <row r="6" spans="1:15" s="11" customFormat="1" ht="16.5" customHeight="1" thickBot="1" x14ac:dyDescent="0.35">
      <c r="C6" s="12"/>
      <c r="D6" s="15"/>
      <c r="E6" s="16"/>
      <c r="F6" s="16"/>
      <c r="G6" s="17"/>
      <c r="H6" s="17"/>
    </row>
    <row r="7" spans="1:15" s="19" customFormat="1" ht="37.5" customHeight="1" thickTop="1" thickBot="1" x14ac:dyDescent="0.35">
      <c r="A7" s="18"/>
      <c r="B7" s="21" t="s">
        <v>3</v>
      </c>
      <c r="C7" s="22" t="s">
        <v>36</v>
      </c>
      <c r="D7" s="21" t="s">
        <v>5</v>
      </c>
      <c r="E7" s="21" t="s">
        <v>6</v>
      </c>
      <c r="F7" s="21" t="s">
        <v>7</v>
      </c>
      <c r="G7" s="21" t="s">
        <v>9</v>
      </c>
      <c r="H7" s="21" t="s">
        <v>11</v>
      </c>
      <c r="I7" s="19" t="s">
        <v>6</v>
      </c>
    </row>
    <row r="8" spans="1:15" s="31" customFormat="1" ht="15.6" thickTop="1" x14ac:dyDescent="0.25">
      <c r="B8" s="35">
        <f>'Base Price'!B10</f>
        <v>615</v>
      </c>
      <c r="C8" s="35" t="str">
        <f>'Base Price'!C10</f>
        <v>Studio</v>
      </c>
      <c r="D8" s="183">
        <f>'Base Price'!D10</f>
        <v>29.16</v>
      </c>
      <c r="E8" s="36">
        <f>'Base Price'!H10</f>
        <v>193984.63</v>
      </c>
      <c r="F8" s="186">
        <f>ROUND(E8*D8,-2)</f>
        <v>5656600</v>
      </c>
      <c r="G8" s="186">
        <f>'Base Price'!K10</f>
        <v>6335392</v>
      </c>
      <c r="H8" s="186">
        <f>'Base Price'!M10</f>
        <v>6674788</v>
      </c>
      <c r="I8" s="177">
        <f>F8/D8</f>
        <v>193984.91083676269</v>
      </c>
      <c r="K8" s="177">
        <f>F8/D8</f>
        <v>193984.91083676269</v>
      </c>
      <c r="L8" s="177">
        <f>F8*1.12</f>
        <v>6335392.0000000009</v>
      </c>
      <c r="M8" s="177">
        <f>(F8*1.06)+(F8*12%)</f>
        <v>6674788</v>
      </c>
      <c r="N8" s="175">
        <f>L8-G8</f>
        <v>0</v>
      </c>
      <c r="O8" s="175">
        <f>M8-H8</f>
        <v>0</v>
      </c>
    </row>
    <row r="9" spans="1:15" s="31" customFormat="1" ht="15" x14ac:dyDescent="0.25">
      <c r="B9" s="37">
        <f>'Base Price'!B11</f>
        <v>618</v>
      </c>
      <c r="C9" s="37" t="str">
        <f>'Base Price'!C11</f>
        <v>Studio</v>
      </c>
      <c r="D9" s="184">
        <f>'Base Price'!D11</f>
        <v>31.68</v>
      </c>
      <c r="E9" s="36">
        <f>'Base Price'!H11</f>
        <v>193984.625</v>
      </c>
      <c r="F9" s="187">
        <f t="shared" ref="F9:F21" si="0">ROUND(E9*D9,-2)</f>
        <v>6145400</v>
      </c>
      <c r="G9" s="187">
        <f>'Base Price'!K11</f>
        <v>6882848</v>
      </c>
      <c r="H9" s="187">
        <f>'Base Price'!M11</f>
        <v>7251572</v>
      </c>
      <c r="I9" s="177">
        <f t="shared" ref="I9:I21" si="1">F9/D9</f>
        <v>193983.58585858587</v>
      </c>
      <c r="K9" s="177">
        <f t="shared" ref="K9:K21" si="2">F9/D9</f>
        <v>193983.58585858587</v>
      </c>
      <c r="L9" s="177">
        <f t="shared" ref="L9:L21" si="3">F9*1.12</f>
        <v>6882848.0000000009</v>
      </c>
      <c r="M9" s="177">
        <f t="shared" ref="M9:M21" si="4">(F9*1.06)+(F9*12%)</f>
        <v>7251572</v>
      </c>
      <c r="N9" s="175">
        <f t="shared" ref="N9:N21" si="5">L9-G9</f>
        <v>0</v>
      </c>
      <c r="O9" s="175">
        <f t="shared" ref="O9:O21" si="6">M9-H9</f>
        <v>0</v>
      </c>
    </row>
    <row r="10" spans="1:15" s="31" customFormat="1" ht="15" x14ac:dyDescent="0.25">
      <c r="B10" s="37">
        <f>'Base Price'!B12</f>
        <v>1106</v>
      </c>
      <c r="C10" s="37" t="str">
        <f>'Base Price'!C12</f>
        <v>2 Bedroom</v>
      </c>
      <c r="D10" s="184">
        <f>'Base Price'!D12</f>
        <v>50.2</v>
      </c>
      <c r="E10" s="36">
        <f>'Base Price'!H12</f>
        <v>191150</v>
      </c>
      <c r="F10" s="187">
        <f t="shared" si="0"/>
        <v>9595700</v>
      </c>
      <c r="G10" s="187">
        <f>'Base Price'!K12</f>
        <v>10747184</v>
      </c>
      <c r="H10" s="187">
        <f>'Base Price'!M12</f>
        <v>11322926</v>
      </c>
      <c r="I10" s="177">
        <f t="shared" si="1"/>
        <v>191149.40239043825</v>
      </c>
      <c r="K10" s="177">
        <f t="shared" si="2"/>
        <v>191149.40239043825</v>
      </c>
      <c r="L10" s="177">
        <f t="shared" si="3"/>
        <v>10747184.000000002</v>
      </c>
      <c r="M10" s="177">
        <f t="shared" si="4"/>
        <v>11322926</v>
      </c>
      <c r="N10" s="175">
        <f t="shared" si="5"/>
        <v>0</v>
      </c>
      <c r="O10" s="175">
        <f t="shared" si="6"/>
        <v>0</v>
      </c>
    </row>
    <row r="11" spans="1:15" s="31" customFormat="1" ht="15" x14ac:dyDescent="0.25">
      <c r="B11" s="37">
        <f>'Base Price'!B13</f>
        <v>2103</v>
      </c>
      <c r="C11" s="37" t="str">
        <f>'Base Price'!C13</f>
        <v>Studio</v>
      </c>
      <c r="D11" s="184">
        <f>'Base Price'!D13</f>
        <v>26.92</v>
      </c>
      <c r="E11" s="36">
        <f>'Base Price'!H13</f>
        <v>195384.625</v>
      </c>
      <c r="F11" s="187">
        <f t="shared" si="0"/>
        <v>5259800</v>
      </c>
      <c r="G11" s="187">
        <f>'Base Price'!K13</f>
        <v>5890976</v>
      </c>
      <c r="H11" s="187">
        <f>'Base Price'!M13</f>
        <v>6206564</v>
      </c>
      <c r="I11" s="177">
        <f t="shared" si="1"/>
        <v>195386.32986627042</v>
      </c>
      <c r="K11" s="177">
        <f t="shared" si="2"/>
        <v>195386.32986627042</v>
      </c>
      <c r="L11" s="177">
        <f t="shared" si="3"/>
        <v>5890976.0000000009</v>
      </c>
      <c r="M11" s="177">
        <f t="shared" si="4"/>
        <v>6206564</v>
      </c>
      <c r="N11" s="175">
        <f t="shared" si="5"/>
        <v>0</v>
      </c>
      <c r="O11" s="175">
        <f t="shared" si="6"/>
        <v>0</v>
      </c>
    </row>
    <row r="12" spans="1:15" s="31" customFormat="1" ht="15" x14ac:dyDescent="0.25">
      <c r="B12" s="37">
        <f>'Base Price'!B14</f>
        <v>2206</v>
      </c>
      <c r="C12" s="37" t="str">
        <f>'Base Price'!C14</f>
        <v>2 Bedroom</v>
      </c>
      <c r="D12" s="184">
        <f>'Base Price'!D14</f>
        <v>50.2</v>
      </c>
      <c r="E12" s="36">
        <f>'Base Price'!H14</f>
        <v>192150</v>
      </c>
      <c r="F12" s="187">
        <f t="shared" si="0"/>
        <v>9645900</v>
      </c>
      <c r="G12" s="187">
        <f>'Base Price'!K14</f>
        <v>10803408</v>
      </c>
      <c r="H12" s="187">
        <f>'Base Price'!M14</f>
        <v>11382162</v>
      </c>
      <c r="I12" s="177">
        <f t="shared" si="1"/>
        <v>192149.40239043825</v>
      </c>
      <c r="K12" s="177">
        <f t="shared" si="2"/>
        <v>192149.40239043825</v>
      </c>
      <c r="L12" s="177">
        <f t="shared" si="3"/>
        <v>10803408.000000002</v>
      </c>
      <c r="M12" s="177">
        <f t="shared" si="4"/>
        <v>11382162</v>
      </c>
      <c r="N12" s="175">
        <f t="shared" si="5"/>
        <v>0</v>
      </c>
      <c r="O12" s="175">
        <f t="shared" si="6"/>
        <v>0</v>
      </c>
    </row>
    <row r="13" spans="1:15" s="138" customFormat="1" ht="15" hidden="1" x14ac:dyDescent="0.25">
      <c r="B13" s="139">
        <f>'Base Price'!B15</f>
        <v>2406</v>
      </c>
      <c r="C13" s="139" t="str">
        <f>'Base Price'!C15</f>
        <v>2 Bedroom</v>
      </c>
      <c r="D13" s="185">
        <f>'Base Price'!D15</f>
        <v>50.2</v>
      </c>
      <c r="E13" s="36">
        <f>'Base Price'!H15</f>
        <v>192350</v>
      </c>
      <c r="F13" s="188">
        <f t="shared" si="0"/>
        <v>9656000</v>
      </c>
      <c r="G13" s="188">
        <f>'Base Price'!K15</f>
        <v>10814720</v>
      </c>
      <c r="H13" s="188">
        <f>'Base Price'!M15</f>
        <v>11394080</v>
      </c>
      <c r="I13" s="177">
        <f t="shared" si="1"/>
        <v>192350.59760956175</v>
      </c>
      <c r="K13" s="177">
        <f t="shared" si="2"/>
        <v>192350.59760956175</v>
      </c>
      <c r="L13" s="177">
        <f t="shared" si="3"/>
        <v>10814720.000000002</v>
      </c>
      <c r="M13" s="177">
        <f t="shared" si="4"/>
        <v>11394080</v>
      </c>
      <c r="N13" s="175">
        <f t="shared" si="5"/>
        <v>0</v>
      </c>
      <c r="O13" s="175">
        <f t="shared" si="6"/>
        <v>0</v>
      </c>
    </row>
    <row r="14" spans="1:15" s="31" customFormat="1" ht="15" x14ac:dyDescent="0.25">
      <c r="B14" s="37">
        <f>'Base Price'!B16</f>
        <v>2606</v>
      </c>
      <c r="C14" s="37" t="str">
        <f>'Base Price'!C16</f>
        <v>2 Bedroom</v>
      </c>
      <c r="D14" s="184">
        <f>'Base Price'!D16</f>
        <v>50.2</v>
      </c>
      <c r="E14" s="36">
        <f>'Base Price'!H16</f>
        <v>192550</v>
      </c>
      <c r="F14" s="187">
        <f t="shared" si="0"/>
        <v>9666000</v>
      </c>
      <c r="G14" s="187">
        <f>'Base Price'!K16</f>
        <v>10825920</v>
      </c>
      <c r="H14" s="187">
        <f>'Base Price'!M16</f>
        <v>11405880</v>
      </c>
      <c r="I14" s="177">
        <f t="shared" si="1"/>
        <v>192549.80079681275</v>
      </c>
      <c r="K14" s="177">
        <f t="shared" si="2"/>
        <v>192549.80079681275</v>
      </c>
      <c r="L14" s="177">
        <f t="shared" si="3"/>
        <v>10825920.000000002</v>
      </c>
      <c r="M14" s="177">
        <f t="shared" si="4"/>
        <v>11405880</v>
      </c>
      <c r="N14" s="175">
        <f t="shared" si="5"/>
        <v>0</v>
      </c>
      <c r="O14" s="175">
        <f t="shared" si="6"/>
        <v>0</v>
      </c>
    </row>
    <row r="15" spans="1:15" s="31" customFormat="1" ht="15" x14ac:dyDescent="0.25">
      <c r="B15" s="37">
        <f>'Base Price'!B17</f>
        <v>2815</v>
      </c>
      <c r="C15" s="37" t="str">
        <f>'Base Price'!C17</f>
        <v>1 Bedroom</v>
      </c>
      <c r="D15" s="184">
        <f>'Base Price'!D17</f>
        <v>34.049999999999997</v>
      </c>
      <c r="E15" s="36">
        <f>'Base Price'!H17</f>
        <v>192750</v>
      </c>
      <c r="F15" s="187">
        <f t="shared" si="0"/>
        <v>6563100</v>
      </c>
      <c r="G15" s="187">
        <f>'Base Price'!K17</f>
        <v>7350672</v>
      </c>
      <c r="H15" s="187">
        <f>'Base Price'!M17</f>
        <v>7744458</v>
      </c>
      <c r="I15" s="177">
        <f t="shared" si="1"/>
        <v>192748.89867841412</v>
      </c>
      <c r="K15" s="177">
        <f t="shared" si="2"/>
        <v>192748.89867841412</v>
      </c>
      <c r="L15" s="177">
        <f t="shared" si="3"/>
        <v>7350672.0000000009</v>
      </c>
      <c r="M15" s="177">
        <f t="shared" si="4"/>
        <v>7744458</v>
      </c>
      <c r="N15" s="175">
        <f t="shared" si="5"/>
        <v>0</v>
      </c>
      <c r="O15" s="175">
        <f t="shared" si="6"/>
        <v>0</v>
      </c>
    </row>
    <row r="16" spans="1:15" s="31" customFormat="1" ht="15" x14ac:dyDescent="0.25">
      <c r="B16" s="37">
        <f>'Base Price'!B18</f>
        <v>2915</v>
      </c>
      <c r="C16" s="37" t="str">
        <f>'Base Price'!C18</f>
        <v>1 Bedroom</v>
      </c>
      <c r="D16" s="184">
        <f>'Base Price'!D18</f>
        <v>34.049999999999997</v>
      </c>
      <c r="E16" s="36">
        <f>'Base Price'!H18</f>
        <v>192850</v>
      </c>
      <c r="F16" s="187">
        <f t="shared" si="0"/>
        <v>6566500</v>
      </c>
      <c r="G16" s="187">
        <f>'Base Price'!K18</f>
        <v>7354480</v>
      </c>
      <c r="H16" s="187">
        <f>'Base Price'!M18</f>
        <v>7748470</v>
      </c>
      <c r="I16" s="177">
        <f t="shared" si="1"/>
        <v>192848.75183553598</v>
      </c>
      <c r="K16" s="177">
        <f t="shared" si="2"/>
        <v>192848.75183553598</v>
      </c>
      <c r="L16" s="177">
        <f t="shared" si="3"/>
        <v>7354480.0000000009</v>
      </c>
      <c r="M16" s="177">
        <f t="shared" si="4"/>
        <v>7748470</v>
      </c>
      <c r="N16" s="175">
        <f t="shared" si="5"/>
        <v>0</v>
      </c>
      <c r="O16" s="175">
        <f t="shared" si="6"/>
        <v>0</v>
      </c>
    </row>
    <row r="17" spans="2:15" s="31" customFormat="1" ht="15" x14ac:dyDescent="0.25">
      <c r="B17" s="37">
        <f>'Base Price'!B19</f>
        <v>3115</v>
      </c>
      <c r="C17" s="37" t="str">
        <f>'Base Price'!C19</f>
        <v>1 Bedroom</v>
      </c>
      <c r="D17" s="184">
        <f>'Base Price'!D19</f>
        <v>34.049999999999997</v>
      </c>
      <c r="E17" s="36">
        <f>'Base Price'!H19</f>
        <v>193050</v>
      </c>
      <c r="F17" s="187">
        <f>ROUND(E17*D17,-2)</f>
        <v>6573400</v>
      </c>
      <c r="G17" s="187">
        <f>'Base Price'!K19</f>
        <v>7362208</v>
      </c>
      <c r="H17" s="187">
        <f>'Base Price'!M19</f>
        <v>7756612</v>
      </c>
      <c r="I17" s="177">
        <f t="shared" si="1"/>
        <v>193051.39500734216</v>
      </c>
      <c r="K17" s="177">
        <f t="shared" si="2"/>
        <v>193051.39500734216</v>
      </c>
      <c r="L17" s="177">
        <f t="shared" si="3"/>
        <v>7362208.0000000009</v>
      </c>
      <c r="M17" s="177">
        <f t="shared" si="4"/>
        <v>7756612</v>
      </c>
      <c r="N17" s="175">
        <f t="shared" si="5"/>
        <v>0</v>
      </c>
      <c r="O17" s="175">
        <f t="shared" si="6"/>
        <v>0</v>
      </c>
    </row>
    <row r="18" spans="2:15" s="31" customFormat="1" ht="15" x14ac:dyDescent="0.25">
      <c r="B18" s="37">
        <f>'Base Price'!B20</f>
        <v>3214</v>
      </c>
      <c r="C18" s="37" t="str">
        <f>'Base Price'!C20</f>
        <v>1 Bedroom</v>
      </c>
      <c r="D18" s="184">
        <f>'Base Price'!D20</f>
        <v>33.46</v>
      </c>
      <c r="E18" s="36">
        <f>'Base Price'!H20</f>
        <v>193150</v>
      </c>
      <c r="F18" s="187">
        <f t="shared" si="0"/>
        <v>6462800</v>
      </c>
      <c r="G18" s="187">
        <f>'Base Price'!K20</f>
        <v>7238336</v>
      </c>
      <c r="H18" s="187">
        <f>'Base Price'!M20</f>
        <v>7626104</v>
      </c>
      <c r="I18" s="177">
        <f t="shared" si="1"/>
        <v>193150.02988643156</v>
      </c>
      <c r="K18" s="177">
        <f t="shared" si="2"/>
        <v>193150.02988643156</v>
      </c>
      <c r="L18" s="177">
        <f t="shared" si="3"/>
        <v>7238336.0000000009</v>
      </c>
      <c r="M18" s="177">
        <f t="shared" si="4"/>
        <v>7626104</v>
      </c>
      <c r="N18" s="175">
        <f t="shared" si="5"/>
        <v>0</v>
      </c>
      <c r="O18" s="175">
        <f t="shared" si="6"/>
        <v>0</v>
      </c>
    </row>
    <row r="19" spans="2:15" s="31" customFormat="1" ht="15" x14ac:dyDescent="0.25">
      <c r="B19" s="37" t="str">
        <f>'Base Price'!B21</f>
        <v>P1-15</v>
      </c>
      <c r="C19" s="37" t="str">
        <f>'Base Price'!C21</f>
        <v>1 Bedroom</v>
      </c>
      <c r="D19" s="184">
        <f>'Base Price'!D21</f>
        <v>34.049999999999997</v>
      </c>
      <c r="E19" s="36">
        <f>'Base Price'!H21</f>
        <v>193250</v>
      </c>
      <c r="F19" s="187">
        <f t="shared" si="0"/>
        <v>6580200</v>
      </c>
      <c r="G19" s="187">
        <f>'Base Price'!K21</f>
        <v>7369824</v>
      </c>
      <c r="H19" s="187">
        <f>'Base Price'!M21</f>
        <v>7764636</v>
      </c>
      <c r="I19" s="177">
        <f t="shared" si="1"/>
        <v>193251.10132158591</v>
      </c>
      <c r="K19" s="177">
        <f t="shared" si="2"/>
        <v>193251.10132158591</v>
      </c>
      <c r="L19" s="177">
        <f t="shared" si="3"/>
        <v>7369824.0000000009</v>
      </c>
      <c r="M19" s="177">
        <f t="shared" si="4"/>
        <v>7764636</v>
      </c>
      <c r="N19" s="175">
        <f t="shared" si="5"/>
        <v>0</v>
      </c>
      <c r="O19" s="175">
        <f t="shared" si="6"/>
        <v>0</v>
      </c>
    </row>
    <row r="20" spans="2:15" s="31" customFormat="1" ht="15" x14ac:dyDescent="0.25">
      <c r="B20" s="37" t="str">
        <f>'Base Price'!B22</f>
        <v>P2-14</v>
      </c>
      <c r="C20" s="37" t="str">
        <f>'Base Price'!C22</f>
        <v>1 Bedroom</v>
      </c>
      <c r="D20" s="184">
        <f>'Base Price'!D22</f>
        <v>33.46</v>
      </c>
      <c r="E20" s="36">
        <f>'Base Price'!H22</f>
        <v>193350</v>
      </c>
      <c r="F20" s="187">
        <f t="shared" si="0"/>
        <v>6469500</v>
      </c>
      <c r="G20" s="187">
        <f>'Base Price'!K22</f>
        <v>7245840</v>
      </c>
      <c r="H20" s="187">
        <f>'Base Price'!M22</f>
        <v>7634010</v>
      </c>
      <c r="I20" s="177">
        <f t="shared" si="1"/>
        <v>193350.26897788403</v>
      </c>
      <c r="K20" s="177">
        <f t="shared" si="2"/>
        <v>193350.26897788403</v>
      </c>
      <c r="L20" s="177">
        <f t="shared" si="3"/>
        <v>7245840.0000000009</v>
      </c>
      <c r="M20" s="177">
        <f t="shared" si="4"/>
        <v>7634010</v>
      </c>
      <c r="N20" s="175">
        <f t="shared" si="5"/>
        <v>0</v>
      </c>
      <c r="O20" s="175">
        <f t="shared" si="6"/>
        <v>0</v>
      </c>
    </row>
    <row r="21" spans="2:15" s="31" customFormat="1" ht="15" x14ac:dyDescent="0.25">
      <c r="B21" s="37" t="str">
        <f>'Base Price'!B23</f>
        <v>P3-18</v>
      </c>
      <c r="C21" s="37" t="str">
        <f>'Base Price'!C23</f>
        <v>Studio</v>
      </c>
      <c r="D21" s="184">
        <f>'Base Price'!D23</f>
        <v>23.74</v>
      </c>
      <c r="E21" s="36">
        <f>'Base Price'!H23</f>
        <v>196784.625</v>
      </c>
      <c r="F21" s="187">
        <f t="shared" si="0"/>
        <v>4671700</v>
      </c>
      <c r="G21" s="187">
        <f>'Base Price'!K23</f>
        <v>5232304</v>
      </c>
      <c r="H21" s="187">
        <f>'Base Price'!M23</f>
        <v>5512606</v>
      </c>
      <c r="I21" s="177">
        <f t="shared" si="1"/>
        <v>196786.0151642797</v>
      </c>
      <c r="K21" s="177">
        <f t="shared" si="2"/>
        <v>196786.0151642797</v>
      </c>
      <c r="L21" s="177">
        <f t="shared" si="3"/>
        <v>5232304.0000000009</v>
      </c>
      <c r="M21" s="177">
        <f t="shared" si="4"/>
        <v>5512606</v>
      </c>
      <c r="N21" s="175">
        <f t="shared" si="5"/>
        <v>0</v>
      </c>
      <c r="O21" s="175">
        <f t="shared" si="6"/>
        <v>0</v>
      </c>
    </row>
    <row r="22" spans="2:15" s="31" customFormat="1" ht="15" hidden="1" x14ac:dyDescent="0.25">
      <c r="E22" s="175"/>
      <c r="F22" s="175">
        <f>SUM(F8:F21)-'Base Price'!I24</f>
        <v>0</v>
      </c>
      <c r="G22" s="175">
        <f>SUM(G8:G21)-'Base Price'!K24</f>
        <v>0</v>
      </c>
      <c r="H22" s="175">
        <f>SUM(H8:H21)-'Base Price'!M24</f>
        <v>0</v>
      </c>
    </row>
    <row r="23" spans="2:15" s="31" customFormat="1" ht="15" hidden="1" x14ac:dyDescent="0.25">
      <c r="D23" s="175">
        <f>SUM(D8:D21)</f>
        <v>515.41999999999996</v>
      </c>
      <c r="E23" s="175"/>
      <c r="F23" s="175">
        <f>SUM(F8:F21)</f>
        <v>99512600</v>
      </c>
      <c r="G23" s="175"/>
      <c r="H23" s="175"/>
    </row>
    <row r="24" spans="2:15" s="31" customFormat="1" ht="15" hidden="1" x14ac:dyDescent="0.25">
      <c r="D24" s="175"/>
      <c r="E24" s="175"/>
      <c r="F24" s="175">
        <f>F23/D23</f>
        <v>193070.89364013815</v>
      </c>
      <c r="G24" s="175"/>
      <c r="H24" s="175"/>
    </row>
    <row r="25" spans="2:15" s="31" customFormat="1" ht="15" x14ac:dyDescent="0.25">
      <c r="D25" s="175"/>
      <c r="E25" s="175"/>
      <c r="F25" s="175"/>
      <c r="G25" s="175"/>
      <c r="H25" s="175"/>
    </row>
    <row r="26" spans="2:15" s="31" customFormat="1" ht="15" x14ac:dyDescent="0.25">
      <c r="D26" s="175"/>
      <c r="E26" s="175"/>
      <c r="F26" s="175"/>
      <c r="G26" s="175"/>
      <c r="H26" s="175"/>
    </row>
    <row r="27" spans="2:15" s="31" customFormat="1" ht="15" x14ac:dyDescent="0.25">
      <c r="B27" s="24" t="s">
        <v>21</v>
      </c>
      <c r="C27" s="25"/>
      <c r="D27" s="26"/>
    </row>
    <row r="28" spans="2:15" s="31" customFormat="1" ht="15" x14ac:dyDescent="0.25">
      <c r="B28" s="24"/>
      <c r="C28" s="25"/>
      <c r="D28" s="26"/>
    </row>
    <row r="29" spans="2:15" s="31" customFormat="1" ht="15" x14ac:dyDescent="0.25">
      <c r="B29" s="27" t="s">
        <v>29</v>
      </c>
      <c r="C29" s="25"/>
      <c r="D29" s="26"/>
    </row>
    <row r="30" spans="2:15" s="31" customFormat="1" ht="15" x14ac:dyDescent="0.25">
      <c r="B30" s="27" t="s">
        <v>30</v>
      </c>
      <c r="C30" s="25"/>
      <c r="D30" s="26"/>
    </row>
    <row r="31" spans="2:15" s="31" customFormat="1" ht="15" x14ac:dyDescent="0.25">
      <c r="B31" s="27" t="s">
        <v>31</v>
      </c>
      <c r="C31" s="25"/>
      <c r="D31" s="26"/>
    </row>
    <row r="32" spans="2:15" s="31" customFormat="1" ht="15" x14ac:dyDescent="0.25">
      <c r="B32" s="27" t="s">
        <v>32</v>
      </c>
      <c r="C32" s="25"/>
      <c r="D32" s="28"/>
    </row>
    <row r="33" spans="2:7" s="31" customFormat="1" ht="15" x14ac:dyDescent="0.25">
      <c r="B33" s="27" t="s">
        <v>22</v>
      </c>
      <c r="C33" s="25"/>
      <c r="D33" s="28"/>
    </row>
    <row r="34" spans="2:7" s="31" customFormat="1" ht="15" x14ac:dyDescent="0.25">
      <c r="B34" s="29"/>
      <c r="C34" s="25"/>
      <c r="D34" s="28"/>
    </row>
    <row r="35" spans="2:7" s="31" customFormat="1" ht="15" x14ac:dyDescent="0.25">
      <c r="B35" s="29"/>
      <c r="C35" s="25"/>
      <c r="D35" s="28"/>
    </row>
    <row r="36" spans="2:7" s="31" customFormat="1" ht="15" x14ac:dyDescent="0.25">
      <c r="B36" s="26" t="s">
        <v>23</v>
      </c>
      <c r="C36" s="26"/>
      <c r="F36" s="30" t="s">
        <v>27</v>
      </c>
    </row>
    <row r="37" spans="2:7" s="31" customFormat="1" ht="15" x14ac:dyDescent="0.25">
      <c r="B37" s="28"/>
      <c r="C37" s="28"/>
      <c r="F37" s="32"/>
    </row>
    <row r="38" spans="2:7" s="31" customFormat="1" ht="15" x14ac:dyDescent="0.25">
      <c r="B38" s="28"/>
      <c r="C38" s="28"/>
      <c r="F38" s="32"/>
    </row>
    <row r="39" spans="2:7" s="31" customFormat="1" ht="15" x14ac:dyDescent="0.25">
      <c r="B39" s="28"/>
      <c r="C39" s="28"/>
      <c r="F39" s="33"/>
      <c r="G39" s="38"/>
    </row>
    <row r="40" spans="2:7" s="31" customFormat="1" ht="15" x14ac:dyDescent="0.25">
      <c r="B40" s="222" t="s">
        <v>24</v>
      </c>
      <c r="C40" s="222"/>
      <c r="F40" s="223" t="s">
        <v>115</v>
      </c>
      <c r="G40" s="223"/>
    </row>
    <row r="41" spans="2:7" s="31" customFormat="1" ht="15" x14ac:dyDescent="0.25">
      <c r="B41" s="28"/>
      <c r="C41" s="28"/>
      <c r="F41" s="33"/>
    </row>
    <row r="42" spans="2:7" s="31" customFormat="1" ht="15" x14ac:dyDescent="0.25">
      <c r="B42" s="30" t="s">
        <v>25</v>
      </c>
      <c r="C42" s="26"/>
      <c r="F42" s="30"/>
    </row>
    <row r="43" spans="2:7" s="31" customFormat="1" ht="15" x14ac:dyDescent="0.25">
      <c r="B43" s="28"/>
      <c r="C43" s="28"/>
      <c r="F43" s="32"/>
    </row>
    <row r="44" spans="2:7" s="31" customFormat="1" ht="15" x14ac:dyDescent="0.25">
      <c r="B44" s="28"/>
      <c r="C44" s="28"/>
      <c r="F44" s="32"/>
    </row>
    <row r="45" spans="2:7" s="31" customFormat="1" ht="15" x14ac:dyDescent="0.25">
      <c r="B45" s="34"/>
      <c r="C45" s="34"/>
      <c r="F45" s="33"/>
      <c r="G45" s="39"/>
    </row>
    <row r="46" spans="2:7" s="31" customFormat="1" ht="15" x14ac:dyDescent="0.25">
      <c r="B46" s="222" t="s">
        <v>26</v>
      </c>
      <c r="C46" s="222"/>
      <c r="F46" s="223" t="s">
        <v>28</v>
      </c>
      <c r="G46" s="223"/>
    </row>
  </sheetData>
  <sheetProtection algorithmName="SHA-512" hashValue="FLHGOBhAjymVhmZugZES29yvkaTxvg1K4GLfljhQSyM5y40b06ruky1GnWDIVADAmVR8QOJW+jVlFEgCvqdfpw==" saltValue="li7qVotfzQS2jKUgOC2Bjw==" spinCount="100000" sheet="1" objects="1" scenarios="1"/>
  <mergeCells count="4">
    <mergeCell ref="B40:C40"/>
    <mergeCell ref="B46:C46"/>
    <mergeCell ref="F40:G40"/>
    <mergeCell ref="F46:G46"/>
  </mergeCells>
  <pageMargins left="0.7" right="0.7" top="0.75" bottom="0.75" header="0.3" footer="0.3"/>
  <pageSetup scale="81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V19" sqref="V19"/>
    </sheetView>
  </sheetViews>
  <sheetFormatPr defaultRowHeight="14.4" x14ac:dyDescent="0.3"/>
  <cols>
    <col min="1" max="16384" width="8.88671875" style="190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>
      <selection sqref="A1:XFD1048576"/>
    </sheetView>
  </sheetViews>
  <sheetFormatPr defaultRowHeight="14.4" x14ac:dyDescent="0.3"/>
  <cols>
    <col min="1" max="1" width="12.5546875" bestFit="1" customWidth="1"/>
    <col min="2" max="2" width="19.33203125" bestFit="1" customWidth="1"/>
    <col min="3" max="3" width="17.21875" customWidth="1"/>
  </cols>
  <sheetData>
    <row r="3" spans="1:3" x14ac:dyDescent="0.3">
      <c r="A3" s="168" t="s">
        <v>110</v>
      </c>
      <c r="B3" t="s">
        <v>112</v>
      </c>
    </row>
    <row r="4" spans="1:3" x14ac:dyDescent="0.3">
      <c r="A4" s="169" t="s">
        <v>14</v>
      </c>
      <c r="B4" s="170">
        <v>189386.70728423086</v>
      </c>
    </row>
    <row r="5" spans="1:3" x14ac:dyDescent="0.3">
      <c r="A5" s="169" t="s">
        <v>16</v>
      </c>
      <c r="B5" s="170">
        <v>187517.30926151699</v>
      </c>
    </row>
    <row r="6" spans="1:3" x14ac:dyDescent="0.3">
      <c r="A6" s="169" t="s">
        <v>15</v>
      </c>
      <c r="B6" s="170">
        <v>186500</v>
      </c>
    </row>
    <row r="7" spans="1:3" x14ac:dyDescent="0.3">
      <c r="A7" s="169" t="s">
        <v>111</v>
      </c>
      <c r="B7" s="170">
        <v>187760.76319328751</v>
      </c>
    </row>
    <row r="12" spans="1:3" s="171" customFormat="1" ht="27.6" x14ac:dyDescent="0.3">
      <c r="A12" s="174" t="s">
        <v>36</v>
      </c>
      <c r="B12" s="174" t="s">
        <v>113</v>
      </c>
      <c r="C12"/>
    </row>
    <row r="13" spans="1:3" x14ac:dyDescent="0.3">
      <c r="A13" s="172" t="s">
        <v>14</v>
      </c>
      <c r="B13" s="173">
        <v>189386.70728423086</v>
      </c>
    </row>
    <row r="14" spans="1:3" x14ac:dyDescent="0.3">
      <c r="A14" s="172" t="s">
        <v>16</v>
      </c>
      <c r="B14" s="173">
        <v>187517.30926151699</v>
      </c>
    </row>
    <row r="15" spans="1:3" x14ac:dyDescent="0.3">
      <c r="A15" s="172" t="s">
        <v>15</v>
      </c>
      <c r="B15" s="173">
        <v>186500</v>
      </c>
    </row>
  </sheetData>
  <pageMargins left="0.7" right="0.7" top="0.75" bottom="0.75" header="0.3" footer="0.3"/>
  <pageSetup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sqref="A1:XFD1048576"/>
    </sheetView>
  </sheetViews>
  <sheetFormatPr defaultRowHeight="14.4" x14ac:dyDescent="0.3"/>
  <cols>
    <col min="1" max="1" width="7.88671875" bestFit="1" customWidth="1"/>
    <col min="2" max="2" width="9.77734375" bestFit="1" customWidth="1"/>
    <col min="3" max="3" width="10.77734375" bestFit="1" customWidth="1"/>
    <col min="4" max="4" width="10" bestFit="1" customWidth="1"/>
    <col min="5" max="5" width="19.5546875" bestFit="1" customWidth="1"/>
    <col min="6" max="6" width="19.5546875" customWidth="1"/>
    <col min="7" max="7" width="10" bestFit="1" customWidth="1"/>
    <col min="8" max="8" width="22.33203125" bestFit="1" customWidth="1"/>
    <col min="9" max="9" width="22" bestFit="1" customWidth="1"/>
    <col min="10" max="10" width="24.109375" bestFit="1" customWidth="1"/>
  </cols>
  <sheetData>
    <row r="1" spans="1:10" x14ac:dyDescent="0.3">
      <c r="A1" s="4" t="s">
        <v>3</v>
      </c>
      <c r="B1" s="5" t="s">
        <v>4</v>
      </c>
      <c r="C1" s="4" t="s">
        <v>5</v>
      </c>
      <c r="D1" s="4" t="s">
        <v>13</v>
      </c>
      <c r="E1" s="4" t="s">
        <v>7</v>
      </c>
      <c r="F1" s="4" t="s">
        <v>6</v>
      </c>
      <c r="G1" s="4" t="s">
        <v>8</v>
      </c>
      <c r="H1" s="4" t="s">
        <v>9</v>
      </c>
      <c r="I1" s="4" t="s">
        <v>10</v>
      </c>
      <c r="J1" s="4" t="s">
        <v>11</v>
      </c>
    </row>
    <row r="2" spans="1:10" x14ac:dyDescent="0.3">
      <c r="A2" s="6">
        <v>615</v>
      </c>
      <c r="B2" s="6" t="s">
        <v>14</v>
      </c>
      <c r="C2" s="7">
        <v>29.16</v>
      </c>
      <c r="D2" s="8">
        <f>'Base Price'!E10</f>
        <v>190550</v>
      </c>
      <c r="E2" s="8">
        <f>'Base Price'!I10</f>
        <v>5656600</v>
      </c>
      <c r="F2" s="8">
        <f>E2/C2</f>
        <v>193984.91083676269</v>
      </c>
      <c r="G2" s="8">
        <f>'Base Price'!J10</f>
        <v>678792</v>
      </c>
      <c r="H2" s="8">
        <f>'Base Price'!K10</f>
        <v>6335392</v>
      </c>
      <c r="I2" s="8">
        <f>'Base Price'!L10</f>
        <v>339396</v>
      </c>
      <c r="J2" s="8">
        <f>'Base Price'!M10</f>
        <v>6674788</v>
      </c>
    </row>
    <row r="3" spans="1:10" x14ac:dyDescent="0.3">
      <c r="A3" s="6">
        <v>618</v>
      </c>
      <c r="B3" s="6" t="s">
        <v>14</v>
      </c>
      <c r="C3" s="7">
        <v>31.68</v>
      </c>
      <c r="D3" s="8">
        <f>'Base Price'!E11</f>
        <v>190550</v>
      </c>
      <c r="E3" s="8">
        <f>'Base Price'!I11</f>
        <v>6145400</v>
      </c>
      <c r="F3" s="8">
        <f t="shared" ref="F3:F15" si="0">E3/C3</f>
        <v>193983.58585858587</v>
      </c>
      <c r="G3" s="8">
        <f>'Base Price'!J11</f>
        <v>737448</v>
      </c>
      <c r="H3" s="8">
        <f>'Base Price'!K11</f>
        <v>6882848</v>
      </c>
      <c r="I3" s="8">
        <f>'Base Price'!L11</f>
        <v>368724</v>
      </c>
      <c r="J3" s="8">
        <f>'Base Price'!M11</f>
        <v>7251572</v>
      </c>
    </row>
    <row r="4" spans="1:10" x14ac:dyDescent="0.3">
      <c r="A4" s="6">
        <v>1106</v>
      </c>
      <c r="B4" s="6" t="s">
        <v>15</v>
      </c>
      <c r="C4" s="7">
        <v>50.2</v>
      </c>
      <c r="D4" s="8">
        <f>'Base Price'!E12</f>
        <v>190550</v>
      </c>
      <c r="E4" s="8">
        <f>'Base Price'!I12</f>
        <v>9595700</v>
      </c>
      <c r="F4" s="8">
        <f t="shared" si="0"/>
        <v>191149.40239043825</v>
      </c>
      <c r="G4" s="8">
        <f>'Base Price'!J12</f>
        <v>1151484</v>
      </c>
      <c r="H4" s="8">
        <f>'Base Price'!K12</f>
        <v>10747184</v>
      </c>
      <c r="I4" s="8">
        <f>'Base Price'!L12</f>
        <v>575742</v>
      </c>
      <c r="J4" s="8">
        <f>'Base Price'!M12</f>
        <v>11322926</v>
      </c>
    </row>
    <row r="5" spans="1:10" x14ac:dyDescent="0.3">
      <c r="A5" s="6">
        <v>2103</v>
      </c>
      <c r="B5" s="6" t="s">
        <v>14</v>
      </c>
      <c r="C5" s="7">
        <v>26.92</v>
      </c>
      <c r="D5" s="8">
        <f>'Base Price'!E13</f>
        <v>190550</v>
      </c>
      <c r="E5" s="8">
        <f>'Base Price'!I13</f>
        <v>5259800</v>
      </c>
      <c r="F5" s="8">
        <f t="shared" si="0"/>
        <v>195386.32986627042</v>
      </c>
      <c r="G5" s="8">
        <f>'Base Price'!J13</f>
        <v>631176</v>
      </c>
      <c r="H5" s="8">
        <f>'Base Price'!K13</f>
        <v>5890976</v>
      </c>
      <c r="I5" s="8">
        <f>'Base Price'!L13</f>
        <v>315588</v>
      </c>
      <c r="J5" s="8">
        <f>'Base Price'!M13</f>
        <v>6206564</v>
      </c>
    </row>
    <row r="6" spans="1:10" x14ac:dyDescent="0.3">
      <c r="A6" s="6">
        <v>2206</v>
      </c>
      <c r="B6" s="6" t="s">
        <v>15</v>
      </c>
      <c r="C6" s="7">
        <v>50.2</v>
      </c>
      <c r="D6" s="8">
        <f>'Base Price'!E14</f>
        <v>190550</v>
      </c>
      <c r="E6" s="8">
        <f>'Base Price'!I14</f>
        <v>9645900</v>
      </c>
      <c r="F6" s="8">
        <f t="shared" si="0"/>
        <v>192149.40239043825</v>
      </c>
      <c r="G6" s="8">
        <f>'Base Price'!J14</f>
        <v>1157508</v>
      </c>
      <c r="H6" s="8">
        <f>'Base Price'!K14</f>
        <v>10803408</v>
      </c>
      <c r="I6" s="8">
        <f>'Base Price'!L14</f>
        <v>578754</v>
      </c>
      <c r="J6" s="8">
        <f>'Base Price'!M14</f>
        <v>11382162</v>
      </c>
    </row>
    <row r="7" spans="1:10" x14ac:dyDescent="0.3">
      <c r="A7" s="6">
        <v>2406</v>
      </c>
      <c r="B7" s="6" t="s">
        <v>15</v>
      </c>
      <c r="C7" s="7">
        <v>50.2</v>
      </c>
      <c r="D7" s="8">
        <f>'Base Price'!E15</f>
        <v>190550</v>
      </c>
      <c r="E7" s="8">
        <f>'Base Price'!I15</f>
        <v>9656000</v>
      </c>
      <c r="F7" s="8">
        <f t="shared" si="0"/>
        <v>192350.59760956175</v>
      </c>
      <c r="G7" s="8">
        <f>'Base Price'!J15</f>
        <v>1158720</v>
      </c>
      <c r="H7" s="8">
        <f>'Base Price'!K15</f>
        <v>10814720</v>
      </c>
      <c r="I7" s="8">
        <f>'Base Price'!L15</f>
        <v>579360</v>
      </c>
      <c r="J7" s="8">
        <f>'Base Price'!M15</f>
        <v>11394080</v>
      </c>
    </row>
    <row r="8" spans="1:10" x14ac:dyDescent="0.3">
      <c r="A8" s="6">
        <v>2606</v>
      </c>
      <c r="B8" s="6" t="s">
        <v>15</v>
      </c>
      <c r="C8" s="7">
        <v>50.2</v>
      </c>
      <c r="D8" s="8">
        <f>'Base Price'!E16</f>
        <v>190550</v>
      </c>
      <c r="E8" s="8">
        <f>'Base Price'!I16</f>
        <v>9666000</v>
      </c>
      <c r="F8" s="8">
        <f t="shared" si="0"/>
        <v>192549.80079681275</v>
      </c>
      <c r="G8" s="8">
        <f>'Base Price'!J16</f>
        <v>1159920</v>
      </c>
      <c r="H8" s="8">
        <f>'Base Price'!K16</f>
        <v>10825920</v>
      </c>
      <c r="I8" s="8">
        <f>'Base Price'!L16</f>
        <v>579960</v>
      </c>
      <c r="J8" s="8">
        <f>'Base Price'!M16</f>
        <v>11405880</v>
      </c>
    </row>
    <row r="9" spans="1:10" x14ac:dyDescent="0.3">
      <c r="A9" s="6">
        <v>2815</v>
      </c>
      <c r="B9" s="6" t="s">
        <v>16</v>
      </c>
      <c r="C9" s="7">
        <v>34.049999999999997</v>
      </c>
      <c r="D9" s="8">
        <f>'Base Price'!E17</f>
        <v>190550</v>
      </c>
      <c r="E9" s="8">
        <f>'Base Price'!I17</f>
        <v>6563100</v>
      </c>
      <c r="F9" s="8">
        <f t="shared" si="0"/>
        <v>192748.89867841412</v>
      </c>
      <c r="G9" s="8">
        <f>'Base Price'!J17</f>
        <v>787572</v>
      </c>
      <c r="H9" s="8">
        <f>'Base Price'!K17</f>
        <v>7350672</v>
      </c>
      <c r="I9" s="8">
        <f>'Base Price'!L17</f>
        <v>393786</v>
      </c>
      <c r="J9" s="8">
        <f>'Base Price'!M17</f>
        <v>7744458</v>
      </c>
    </row>
    <row r="10" spans="1:10" x14ac:dyDescent="0.3">
      <c r="A10" s="6">
        <v>2915</v>
      </c>
      <c r="B10" s="6" t="s">
        <v>16</v>
      </c>
      <c r="C10" s="7">
        <v>34.049999999999997</v>
      </c>
      <c r="D10" s="8">
        <f>'Base Price'!E18</f>
        <v>190550</v>
      </c>
      <c r="E10" s="8">
        <f>'Base Price'!I18</f>
        <v>6566500</v>
      </c>
      <c r="F10" s="8">
        <f t="shared" si="0"/>
        <v>192848.75183553598</v>
      </c>
      <c r="G10" s="8">
        <f>'Base Price'!J18</f>
        <v>787980</v>
      </c>
      <c r="H10" s="8">
        <f>'Base Price'!K18</f>
        <v>7354480</v>
      </c>
      <c r="I10" s="8">
        <f>'Base Price'!L18</f>
        <v>393990</v>
      </c>
      <c r="J10" s="8">
        <f>'Base Price'!M18</f>
        <v>7748470</v>
      </c>
    </row>
    <row r="11" spans="1:10" x14ac:dyDescent="0.3">
      <c r="A11" s="6">
        <v>3115</v>
      </c>
      <c r="B11" s="6" t="s">
        <v>16</v>
      </c>
      <c r="C11" s="7">
        <v>34.049999999999997</v>
      </c>
      <c r="D11" s="8">
        <f>'Base Price'!E19</f>
        <v>190550</v>
      </c>
      <c r="E11" s="8">
        <f>'Base Price'!I19</f>
        <v>6573400</v>
      </c>
      <c r="F11" s="8">
        <f t="shared" si="0"/>
        <v>193051.39500734216</v>
      </c>
      <c r="G11" s="8">
        <f>'Base Price'!J19</f>
        <v>788808</v>
      </c>
      <c r="H11" s="8">
        <f>'Base Price'!K19</f>
        <v>7362208</v>
      </c>
      <c r="I11" s="8">
        <f>'Base Price'!L19</f>
        <v>394404</v>
      </c>
      <c r="J11" s="8">
        <f>'Base Price'!M19</f>
        <v>7756612</v>
      </c>
    </row>
    <row r="12" spans="1:10" x14ac:dyDescent="0.3">
      <c r="A12" s="6">
        <v>3214</v>
      </c>
      <c r="B12" s="6" t="s">
        <v>16</v>
      </c>
      <c r="C12" s="7">
        <v>33.46</v>
      </c>
      <c r="D12" s="8">
        <f>'Base Price'!E20</f>
        <v>190550</v>
      </c>
      <c r="E12" s="8">
        <f>'Base Price'!I20</f>
        <v>6462800</v>
      </c>
      <c r="F12" s="8">
        <f t="shared" si="0"/>
        <v>193150.02988643156</v>
      </c>
      <c r="G12" s="8">
        <f>'Base Price'!J20</f>
        <v>775536</v>
      </c>
      <c r="H12" s="8">
        <f>'Base Price'!K20</f>
        <v>7238336</v>
      </c>
      <c r="I12" s="8">
        <f>'Base Price'!L20</f>
        <v>387768</v>
      </c>
      <c r="J12" s="8">
        <f>'Base Price'!M20</f>
        <v>7626104</v>
      </c>
    </row>
    <row r="13" spans="1:10" x14ac:dyDescent="0.3">
      <c r="A13" s="6" t="s">
        <v>0</v>
      </c>
      <c r="B13" s="6" t="s">
        <v>16</v>
      </c>
      <c r="C13" s="7">
        <v>34.049999999999997</v>
      </c>
      <c r="D13" s="8">
        <f>'Base Price'!E21</f>
        <v>190550</v>
      </c>
      <c r="E13" s="8">
        <f>'Base Price'!I21</f>
        <v>6580200</v>
      </c>
      <c r="F13" s="8">
        <f t="shared" si="0"/>
        <v>193251.10132158591</v>
      </c>
      <c r="G13" s="8">
        <f>'Base Price'!J21</f>
        <v>789624</v>
      </c>
      <c r="H13" s="8">
        <f>'Base Price'!K21</f>
        <v>7369824</v>
      </c>
      <c r="I13" s="8">
        <f>'Base Price'!L21</f>
        <v>394812</v>
      </c>
      <c r="J13" s="8">
        <f>'Base Price'!M21</f>
        <v>7764636</v>
      </c>
    </row>
    <row r="14" spans="1:10" x14ac:dyDescent="0.3">
      <c r="A14" s="6" t="s">
        <v>1</v>
      </c>
      <c r="B14" s="6" t="s">
        <v>16</v>
      </c>
      <c r="C14" s="7">
        <v>33.46</v>
      </c>
      <c r="D14" s="8">
        <f>'Base Price'!E22</f>
        <v>190550</v>
      </c>
      <c r="E14" s="8">
        <f>'Base Price'!I22</f>
        <v>6469500</v>
      </c>
      <c r="F14" s="8">
        <f t="shared" si="0"/>
        <v>193350.26897788403</v>
      </c>
      <c r="G14" s="8">
        <f>'Base Price'!J22</f>
        <v>776340</v>
      </c>
      <c r="H14" s="8">
        <f>'Base Price'!K22</f>
        <v>7245840</v>
      </c>
      <c r="I14" s="8">
        <f>'Base Price'!L22</f>
        <v>388170</v>
      </c>
      <c r="J14" s="8">
        <f>'Base Price'!M22</f>
        <v>7634010</v>
      </c>
    </row>
    <row r="15" spans="1:10" x14ac:dyDescent="0.3">
      <c r="A15" s="6" t="s">
        <v>2</v>
      </c>
      <c r="B15" s="6" t="s">
        <v>14</v>
      </c>
      <c r="C15" s="7">
        <v>23.74</v>
      </c>
      <c r="D15" s="8">
        <f>'Base Price'!E23</f>
        <v>190550</v>
      </c>
      <c r="E15" s="8">
        <f>'Base Price'!I23</f>
        <v>4671700</v>
      </c>
      <c r="F15" s="8">
        <f t="shared" si="0"/>
        <v>196786.0151642797</v>
      </c>
      <c r="G15" s="8">
        <f>'Base Price'!J23</f>
        <v>560604</v>
      </c>
      <c r="H15" s="8">
        <f>'Base Price'!K23</f>
        <v>5232304</v>
      </c>
      <c r="I15" s="8">
        <f>'Base Price'!L23</f>
        <v>280302</v>
      </c>
      <c r="J15" s="8">
        <f>'Base Price'!M23</f>
        <v>5512606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Sheet8</vt:lpstr>
      <vt:lpstr>Base Price</vt:lpstr>
      <vt:lpstr>Sheet5</vt:lpstr>
      <vt:lpstr>Sheet7</vt:lpstr>
      <vt:lpstr>assumption for discount</vt:lpstr>
      <vt:lpstr>Pricelist</vt:lpstr>
      <vt:lpstr>Pricelist attachment</vt:lpstr>
      <vt:lpstr>Sheet6</vt:lpstr>
      <vt:lpstr>Sheet4</vt:lpstr>
      <vt:lpstr>Sheet1</vt:lpstr>
      <vt:lpstr>Sheet3</vt:lpstr>
      <vt:lpstr>Sheet2</vt:lpstr>
      <vt:lpstr>Option 1&amp;2</vt:lpstr>
      <vt:lpstr>Option 3&amp;4</vt:lpstr>
      <vt:lpstr>In-House Computation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Florena Taguinod</dc:creator>
  <cp:lastModifiedBy>Florena Taguinod</cp:lastModifiedBy>
  <cp:lastPrinted>2019-08-22T09:26:47Z</cp:lastPrinted>
  <dcterms:created xsi:type="dcterms:W3CDTF">2018-07-10T02:43:27Z</dcterms:created>
  <dcterms:modified xsi:type="dcterms:W3CDTF">2019-08-28T03:42:07Z</dcterms:modified>
</cp:coreProperties>
</file>